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9" activeTab="13"/>
  </bookViews>
  <sheets>
    <sheet name="приложение 1" sheetId="1" r:id="rId1"/>
    <sheet name="приложение 2" sheetId="2" r:id="rId2"/>
    <sheet name="Приложение 2.1 СМП " sheetId="3" r:id="rId3"/>
    <sheet name="Приложение 2.2 АПП" sheetId="4" r:id="rId4"/>
    <sheet name="Приложение 2.3 АПП " sheetId="5" r:id="rId5"/>
    <sheet name="Приложение 2.4 -КС" sheetId="6" r:id="rId6"/>
    <sheet name="Приложение 2.4 -КС к-д" sheetId="7" r:id="rId7"/>
    <sheet name="Приложение 2.5 -ДС " sheetId="8" r:id="rId8"/>
    <sheet name="приложение 3" sheetId="9" r:id="rId9"/>
    <sheet name="приложение 4" sheetId="10" r:id="rId10"/>
    <sheet name="приложение 5" sheetId="11" r:id="rId11"/>
    <sheet name="приложение 6 ИФТП" sheetId="12" r:id="rId12"/>
    <sheet name="Приложение 7 УСТП_2016" sheetId="13" r:id="rId13"/>
    <sheet name="Лист1" sheetId="14" r:id="rId14"/>
  </sheets>
  <externalReferences>
    <externalReference r:id="rId17"/>
  </externalReferences>
  <definedNames>
    <definedName name="_xlnm.Print_Titles" localSheetId="12">'Приложение 7 УСТП_2016'!$10:$10</definedName>
    <definedName name="_xlnm.Print_Area" localSheetId="0">'приложение 1'!$A$1:$N$14</definedName>
    <definedName name="_xlnm.Print_Area" localSheetId="1">'приложение 2'!$A$1:$W$26</definedName>
    <definedName name="_xlnm.Print_Area" localSheetId="2">'Приложение 2.1 СМП '!$A$1:$G$12</definedName>
    <definedName name="_xlnm.Print_Area" localSheetId="3">'Приложение 2.2 АПП'!$A$1:$AQ$150</definedName>
    <definedName name="_xlnm.Print_Area" localSheetId="4">'Приложение 2.3 АПП '!$A$1:$K$29</definedName>
    <definedName name="_xlnm.Print_Area" localSheetId="5">'Приложение 2.4 -КС'!$A$1:$J$149</definedName>
    <definedName name="_xlnm.Print_Area" localSheetId="6">'Приложение 2.4 -КС к-д'!$A$1:$T$149</definedName>
    <definedName name="_xlnm.Print_Area" localSheetId="7">'Приложение 2.5 -ДС '!$A$1:$K$26</definedName>
    <definedName name="_xlnm.Print_Area" localSheetId="8">'приложение 3'!$A$1:$I$32</definedName>
    <definedName name="_xlnm.Print_Area" localSheetId="9">'приложение 4'!$A$1:$G$57</definedName>
    <definedName name="_xlnm.Print_Area" localSheetId="10">'приложение 5'!$A$1:$O$58</definedName>
    <definedName name="_xlnm.Print_Area" localSheetId="12">'Приложение 7 УСТП_2016'!$A$1:$J$48</definedName>
  </definedNames>
  <calcPr fullCalcOnLoad="1"/>
</workbook>
</file>

<file path=xl/sharedStrings.xml><?xml version="1.0" encoding="utf-8"?>
<sst xmlns="http://schemas.openxmlformats.org/spreadsheetml/2006/main" count="816" uniqueCount="335">
  <si>
    <t>2017 год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</si>
  <si>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</si>
  <si>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на одного жителя (одно застрахован-ное лицо по ОМС)
в год (руб.)</t>
  </si>
  <si>
    <t>на одного жителя (одно застрахованное лицо по ОМС)
в год (руб.)</t>
  </si>
  <si>
    <t>Стоимость территориальной программы государственных гарантий всего (сумма строк 02 + 03)
в том числе:</t>
  </si>
  <si>
    <t>01</t>
  </si>
  <si>
    <t>II. Стоимость территориальной программы ОМС всего
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</si>
  <si>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+ 07)                                             
в том числе:</t>
  </si>
  <si>
    <t xml:space="preserve">1.1. субвенции из бюджета ФОМС </t>
  </si>
  <si>
    <t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</si>
  <si>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</si>
  <si>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</si>
  <si>
    <t>Утвержденная стоимость территориальной программы государственных гарантий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</si>
  <si>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</si>
  <si>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Подушевые нормативы финансирования территориальной программы</t>
  </si>
  <si>
    <t>за счет средств  бюджета субъекта РФ</t>
  </si>
  <si>
    <t>за счет средств ОМС</t>
  </si>
  <si>
    <t>за счет средств бюджета субъекта РФ</t>
  </si>
  <si>
    <t>средства ОМС</t>
  </si>
  <si>
    <t>- в амбулаторных условиях</t>
  </si>
  <si>
    <t>20</t>
  </si>
  <si>
    <t>21</t>
  </si>
  <si>
    <t>22.1</t>
  </si>
  <si>
    <t>посещение  с профилактической и иными целями</t>
  </si>
  <si>
    <t>22.2</t>
  </si>
  <si>
    <t>посещение по неотложной медицинской помощи</t>
  </si>
  <si>
    <t>22.3</t>
  </si>
  <si>
    <t>- в стационарных условиях (сумма строк 30 + 35), в том числе:</t>
  </si>
  <si>
    <t>23</t>
  </si>
  <si>
    <t xml:space="preserve">     медицинская реабилитация в стационарных условиях  
(сумма строк 30.1 + 35.1)</t>
  </si>
  <si>
    <t>23.1</t>
  </si>
  <si>
    <t xml:space="preserve">     высокотехнологичная медицинская помощь  (сумма строк 30.2 + 35.2)</t>
  </si>
  <si>
    <t>23.2</t>
  </si>
  <si>
    <t>- в дневных стационарах (сумма строк 31 + 36)</t>
  </si>
  <si>
    <t>24</t>
  </si>
  <si>
    <t xml:space="preserve">  - паллиативная медицинская помощь*** (равно строке 37)</t>
  </si>
  <si>
    <t>25</t>
  </si>
  <si>
    <t>- затраты на АУП в сфере ОМС****</t>
  </si>
  <si>
    <t>26</t>
  </si>
  <si>
    <t>ВСЕГО по ТП ОМС</t>
  </si>
  <si>
    <t>Приложение 6                                                                                                  к протоколу № 12 от 18 декабря 2015г.                                                заседания комиссии по разработке территориальной программы обязательного медицинского страхования</t>
  </si>
  <si>
    <t>Приложение 7
 к протоколу № 12 от 18 декабря 2015 г.
заседания комиссии по разработке территориальной программы обязательного медицинского страховани</t>
  </si>
  <si>
    <t>-  по посещениям (диспансеризация, профосмотры)</t>
  </si>
  <si>
    <t>3) - амбулаторная помощь, оказываемая в неотложной форме</t>
  </si>
  <si>
    <t>из строки 20:
1. Медицинская помощь, предоставляемая в рамках базовой программы ОМС застрахованным лицам</t>
  </si>
  <si>
    <t>27</t>
  </si>
  <si>
    <t>28</t>
  </si>
  <si>
    <t>29.1</t>
  </si>
  <si>
    <t>29.2</t>
  </si>
  <si>
    <t>29.3</t>
  </si>
  <si>
    <t>- в стационарных условиях, в том числе</t>
  </si>
  <si>
    <t>30</t>
  </si>
  <si>
    <t xml:space="preserve">       медицинская реабилитация в стационарных условиях</t>
  </si>
  <si>
    <t>30.1</t>
  </si>
  <si>
    <t xml:space="preserve">     высокотехнологичная медицинская помощь</t>
  </si>
  <si>
    <t>30.2</t>
  </si>
  <si>
    <t>31</t>
  </si>
  <si>
    <t>32</t>
  </si>
  <si>
    <t>33</t>
  </si>
  <si>
    <t xml:space="preserve">Дневной стационар всех типов  </t>
  </si>
  <si>
    <t>пациенто-дней</t>
  </si>
  <si>
    <t>случаев госпитализации (законченный случай)</t>
  </si>
  <si>
    <t>34.1</t>
  </si>
  <si>
    <t>34.2</t>
  </si>
  <si>
    <t>34.3</t>
  </si>
  <si>
    <t>35</t>
  </si>
  <si>
    <t xml:space="preserve">     медицинская реабилитация в стационарных условиях</t>
  </si>
  <si>
    <t>35.1</t>
  </si>
  <si>
    <t>35.2</t>
  </si>
  <si>
    <t>36</t>
  </si>
  <si>
    <t xml:space="preserve">  - паллиативная медицинская помощь</t>
  </si>
  <si>
    <t>37</t>
  </si>
  <si>
    <t>ИТОГО (сумма строк 01 + 15 + 20)</t>
  </si>
  <si>
    <t>38</t>
  </si>
  <si>
    <t>* Без учета финансовых средств консолидированного бюджета субъекта Российской Федерации на содержание медицинских организаций, работающих в системе ОМС (затраты, не вошедшие в тариф).</t>
  </si>
  <si>
    <t>**  указываются средства консолидированного бюджета субъекта Российской Федерации на содержание медицинских организаций, работающих в системе ОМС, на расходы сверх  ТПОМС</t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</si>
  <si>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</t>
  </si>
  <si>
    <t>**** затраты на АУП ТФОМС и СМО</t>
  </si>
  <si>
    <t>- скорая медицинская помощь (сумма строк 28+33)</t>
  </si>
  <si>
    <t>проведение профилактических медицинских осмотров взрослого населения</t>
  </si>
  <si>
    <t>проведение диспансеризации отдельных групп взрослого населения</t>
  </si>
  <si>
    <t>Посещения во время приема</t>
  </si>
  <si>
    <t>ФГБУЗ "ЦМСЧ №1 ФМБА России"</t>
  </si>
  <si>
    <t>случаев лечения</t>
  </si>
  <si>
    <t>1400</t>
  </si>
  <si>
    <t>2765</t>
  </si>
  <si>
    <t>Итого:</t>
  </si>
  <si>
    <t xml:space="preserve">в том числе обращений </t>
  </si>
  <si>
    <t>Норматив медицинской помощи согласно ПП РФ №</t>
  </si>
  <si>
    <t xml:space="preserve"> Распределение стоимости оказываемой медицинской помощи по Территориальной прогамме ОМС на 2016 год</t>
  </si>
  <si>
    <t xml:space="preserve"> гражданам, застрахованным в г.Байконур и получивших медицинскую помощь в других субъектах Российской Федерации, оплачиваемых через ТФОМС </t>
  </si>
  <si>
    <t xml:space="preserve">Амбулаторная помощь </t>
  </si>
  <si>
    <t>в круглосуточном стационаре (законченных случаев)</t>
  </si>
  <si>
    <t>-  по приему посещений (диспансеризация)</t>
  </si>
  <si>
    <t>- по подушевому финансированию</t>
  </si>
  <si>
    <t xml:space="preserve">гражданам, застрахованным на территории других субъектов Российской Федерации, оплачиваемых через ТФОМС </t>
  </si>
  <si>
    <t>Финансирование на 2016 год</t>
  </si>
  <si>
    <t>гражданам, застрахованным на территории города Байконур (филиал ОО "РОСНО-МС")</t>
  </si>
  <si>
    <t>IY квартал</t>
  </si>
  <si>
    <t>Скорая медицинская помощь - вызовов</t>
  </si>
  <si>
    <t>в дневном стационаре (случай лечения)</t>
  </si>
  <si>
    <t>691</t>
  </si>
  <si>
    <t>692</t>
  </si>
  <si>
    <t>350</t>
  </si>
  <si>
    <t>ВСЕГО:</t>
  </si>
  <si>
    <t>- амбулаторная помощь, оказываемая в связи с заболеваниями (обращений)</t>
  </si>
  <si>
    <t>-амбулаторная помощь оказываемая с профилактической целью (посещений)</t>
  </si>
  <si>
    <t>Приложение 3
 к протоколу № 12 от 18 декабря 2015 г.
заседания комиссии по разработке территориальной программы обязательного медицинского страхования</t>
  </si>
  <si>
    <t>Приложение 4</t>
  </si>
  <si>
    <t xml:space="preserve"> к протоколу № 12 от 18 декабря 2015 г.                заседания комиссии по разработке территориальной программы обязательного медицинского страховани</t>
  </si>
  <si>
    <t>Приложение 5                                                                                                                          к протоколу № 12 от 18 декабря 2015г.                                                заседания комиссии по разработке территориальной программы обязательного медицинского страхования</t>
  </si>
  <si>
    <t>-амбулаторная помощь, оказываемая в неотложной форме (посещений)</t>
  </si>
  <si>
    <t>Приложение 1 Утвержденные объемы медицинской помощи на 2016 год 
 к протоколу № 12  от 18 декабря 2015 г. 
заседания комиссии по разработке территориальной программы обязательного медицинского страхования</t>
  </si>
  <si>
    <t>Приложение 2 
 к протоколу № 12  от 18 декабря 2015 г. 
заседания комиссии по разработке территориальной программы обязательного медицинского страхования</t>
  </si>
  <si>
    <t>Приложение 2.3                                                                                     к протоколу № 12 от 18 декабря 2015г. заседания комиссии по разработке территориальной программы обязательного медицинского страхования</t>
  </si>
  <si>
    <t>Распределение объемов медицинской помощи по медицинским организациям на 2016 год</t>
  </si>
  <si>
    <t>кол - во пациенто-дней</t>
  </si>
  <si>
    <t>Итого посещений с профилактической целью</t>
  </si>
  <si>
    <t>Итого посещений по неотложной медицинской помощи</t>
  </si>
  <si>
    <t>3. Стационарная помощь</t>
  </si>
  <si>
    <r>
      <t>9.</t>
    </r>
    <r>
      <rPr>
        <b/>
        <sz val="12"/>
        <rFont val="Times New Roman"/>
        <family val="1"/>
      </rPr>
      <t xml:space="preserve"> Итого </t>
    </r>
    <r>
      <rPr>
        <sz val="12"/>
        <rFont val="Times New Roman"/>
        <family val="1"/>
      </rPr>
      <t xml:space="preserve"> </t>
    </r>
  </si>
  <si>
    <t>обращений</t>
  </si>
  <si>
    <t>случаев госпитализации</t>
  </si>
  <si>
    <t>койко-день</t>
  </si>
  <si>
    <t>ед.изм.</t>
  </si>
  <si>
    <t>ИТОГО:</t>
  </si>
  <si>
    <t>бесплатного оказания гражданам  медицинской помощи по условиям ее оказания ( по статьям расходов за счет средств ОМС)</t>
  </si>
  <si>
    <t xml:space="preserve"> на 2016  год</t>
  </si>
  <si>
    <t>в том числе: затраты АУП ТФОМС</t>
  </si>
  <si>
    <t>затраты АУП СМО</t>
  </si>
  <si>
    <t>2. Межбюджетные трансферты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в том числе:</t>
  </si>
  <si>
    <t>Стоимость территориальной программы государственных гарантий бесплатного оказания медицинской помощи по источникам финансового обеспечения на 2016 год</t>
  </si>
  <si>
    <t>Профиль врачей-специалистов</t>
  </si>
  <si>
    <t>Средняя длительность пребывания</t>
  </si>
  <si>
    <t>Травматология и ортопедия (травматологические койки)</t>
  </si>
  <si>
    <t>Дерматовенерология (дерматологические койки)</t>
  </si>
  <si>
    <t xml:space="preserve"> застрахованным г.Байконур оказанная помощь в других субъектах РФ, оплачиваемых через ТФОМС города Байконур</t>
  </si>
  <si>
    <t>застрахованным на территории других субъектов Российской Федерации, оплачиваемых через ТФОМС города Байконур</t>
  </si>
  <si>
    <t xml:space="preserve">гражданам, застрахованным на территории города Байконур, оплачиваемые через филиал "Байконур-РОСНО-МС" </t>
  </si>
  <si>
    <t xml:space="preserve">План числа посещений на 2015г. </t>
  </si>
  <si>
    <t>Фактическое выполнение за 9 месяцев 2015 года</t>
  </si>
  <si>
    <t>Прогнозируемое выполнение за 2015г. на 42563 чел.</t>
  </si>
  <si>
    <t>Скооректированное число посещений на 2016год на 43548 чел.</t>
  </si>
  <si>
    <t>Оказание неотложной медицинской помощи</t>
  </si>
  <si>
    <t>проведение диспансеризации детей-сирот и детей, оставшихся без попечения родителей</t>
  </si>
  <si>
    <t xml:space="preserve">проведение профилактических медицинских осмотров несовершеннолетних </t>
  </si>
  <si>
    <t xml:space="preserve">проведение предварительных медицинских осмотров несовершеннолетних </t>
  </si>
  <si>
    <t xml:space="preserve">проведение периодических медицинских осмотров несовершеннолетних </t>
  </si>
  <si>
    <t>посещений с профилактической целью</t>
  </si>
  <si>
    <t>посещений по неотложной помощи</t>
  </si>
  <si>
    <t>всего</t>
  </si>
  <si>
    <t>в том числе</t>
  </si>
  <si>
    <t>взр.</t>
  </si>
  <si>
    <t>детей</t>
  </si>
  <si>
    <t xml:space="preserve">взр. </t>
  </si>
  <si>
    <t xml:space="preserve">взросл. </t>
  </si>
  <si>
    <t>А</t>
  </si>
  <si>
    <t>Кардиология и ревматология</t>
  </si>
  <si>
    <t>Педиатрия</t>
  </si>
  <si>
    <t>Терапия</t>
  </si>
  <si>
    <t>Эндокринология</t>
  </si>
  <si>
    <t>Аллергология и иммунология</t>
  </si>
  <si>
    <t>Гастроэнтерология</t>
  </si>
  <si>
    <t>Неврология</t>
  </si>
  <si>
    <t>Инфекционные болезни</t>
  </si>
  <si>
    <t>Хирургия</t>
  </si>
  <si>
    <t>Урология</t>
  </si>
  <si>
    <t>Онкология</t>
  </si>
  <si>
    <t>Стоматология</t>
  </si>
  <si>
    <t>Акушерство-гинекология</t>
  </si>
  <si>
    <t>Отоларингология</t>
  </si>
  <si>
    <t>Офтальмология</t>
  </si>
  <si>
    <t>Дерматология</t>
  </si>
  <si>
    <t>Посещения центров здоровья</t>
  </si>
  <si>
    <t>Посещения к среднему медперсоналу</t>
  </si>
  <si>
    <t>Разовые посещения по поводу заболевания</t>
  </si>
  <si>
    <t>Итого по Программе ОМС</t>
  </si>
  <si>
    <t>Межтериториальные расчеты</t>
  </si>
  <si>
    <t>Всего по Программе ОМС</t>
  </si>
  <si>
    <t>Оказываемой гражданам, застрахованным в городе Байконур и получивших медицинскую помощь в других МО за пределами города Байконур</t>
  </si>
  <si>
    <t>Круглосуточный стационар</t>
  </si>
  <si>
    <t>Кол-во застрахованных граждан по состоянию на 01.04.2015 (данные из формы №8)</t>
  </si>
  <si>
    <t>Специальность</t>
  </si>
  <si>
    <t>в том числе для:</t>
  </si>
  <si>
    <t xml:space="preserve">в том числе </t>
  </si>
  <si>
    <t>Кардиоревматология и ревматология</t>
  </si>
  <si>
    <t>Оториноларингология</t>
  </si>
  <si>
    <t>Межтерриториальные расчеты</t>
  </si>
  <si>
    <t>ВСЕГО по Программе ОМС</t>
  </si>
  <si>
    <t xml:space="preserve">                     Распределение числа случаев госпитализации по профилям медицинской помощи оказываемых в стационаре на 2016 год</t>
  </si>
  <si>
    <t>Профиль медицинской помощи</t>
  </si>
  <si>
    <t>Среднее число случаев госпитализации за 2012-2014г.г.  по данным МО</t>
  </si>
  <si>
    <t xml:space="preserve">План числа случаев госпитализации на 2014 год по ТП ОМС </t>
  </si>
  <si>
    <t xml:space="preserve">Факт числа случаев госпитализации за 2014г. по данным МО   </t>
  </si>
  <si>
    <t>Число койко-дней круглосуточного пребывания, граждан застрахованных на территории города Байконур, оплачиваемые через филиал "Байконур-РОСНО-МС"</t>
  </si>
  <si>
    <t>Приложение 2.5                                                                            к протоколу № 12 от 18 декабря 2015г. заседания комиссии по разработке территориальной программы обязательного медицинского страхования</t>
  </si>
  <si>
    <t>Приложение 2.4.1                                                                            к протоколу № 12 от 18 декабря 2015г. заседания комиссии по разработке территориальной программы обязательного медицинского страхования</t>
  </si>
  <si>
    <t xml:space="preserve">Всего случаев лечения </t>
  </si>
  <si>
    <t>Факт число случаев госпитализации за 12 месяцев  по счетам из СМО</t>
  </si>
  <si>
    <t>План на 2015 год 42563 чел.</t>
  </si>
  <si>
    <t>Фактически выполнено за 9 месяцев 2015 года</t>
  </si>
  <si>
    <t>Прогноз выполнения за 2015 год</t>
  </si>
  <si>
    <t>застрахованным на территории города Байконур получивших медицинскую помощь в других субъектах Российской Федерации, оплачиваемых через ТФОМС города Байконур</t>
  </si>
  <si>
    <t>взрослых</t>
  </si>
  <si>
    <t>взросл.</t>
  </si>
  <si>
    <t xml:space="preserve">Кардиология </t>
  </si>
  <si>
    <t>Неонатология</t>
  </si>
  <si>
    <t>Травматология и ортопедия (травма.койки)</t>
  </si>
  <si>
    <t xml:space="preserve">Урология </t>
  </si>
  <si>
    <t>Нейрохирургия</t>
  </si>
  <si>
    <t>Челюстно-лицевая хирургия, стоматология</t>
  </si>
  <si>
    <t>Онкология, радиология и радиотерапия</t>
  </si>
  <si>
    <t>Акушерство и гинекология</t>
  </si>
  <si>
    <t xml:space="preserve">Неврология </t>
  </si>
  <si>
    <t xml:space="preserve">Дерматовенерология </t>
  </si>
  <si>
    <t>Акушерство и гинекология (койки для беременных и рожениц)</t>
  </si>
  <si>
    <t>Акушерство и гинекология (койки патологии беременности)</t>
  </si>
  <si>
    <t>Медицинская реабилитация</t>
  </si>
  <si>
    <t>Профиль отделений (коек)</t>
  </si>
  <si>
    <t>Кардиология</t>
  </si>
  <si>
    <t>Травматология</t>
  </si>
  <si>
    <t>Нефрология (гемодиализ)</t>
  </si>
  <si>
    <t xml:space="preserve">Онкология </t>
  </si>
  <si>
    <t>гражданам, застрахованным на территории других субъектов Российской Федерации, оплачиваемых через ТФОМС города Байконур</t>
  </si>
  <si>
    <t>гражданам, застрахованным на территории города Байконур, оплачиваемые через филиал "Байконур-РОСНО-МС"</t>
  </si>
  <si>
    <t>Количество вызовов</t>
  </si>
  <si>
    <t>Норматив для медицинской помощи согласно Постановления Правительства РФ №___ от ______________2015г.</t>
  </si>
  <si>
    <t>Поквартальное распределение стоимости оказываемой медицинской помощи для ТФОМС города Байконур</t>
  </si>
  <si>
    <t>Оказываемой гражданам, застрахованным за пределами города Байконур и получившими помощь в МО города Байконур</t>
  </si>
  <si>
    <t>Поквартальное распределение стоимости оказываемой медицинской помощи по ТП ОМС на 2016 год</t>
  </si>
  <si>
    <t>Приложение 2.2                                                                                        к протоколу № 12 от 18.12.2015г.  заседания комиссии по разработке территориальной программы обязательного медицинского страхования</t>
  </si>
  <si>
    <t xml:space="preserve">Всего кол-во обращений  </t>
  </si>
  <si>
    <t>Распределение числа оказываемой помощи в связи с заболеванием (обращений)  по специальностям на 2016 год</t>
  </si>
  <si>
    <t>Приложение 2.4                                                                                                               к протоколу № 12 от 18 декабря 2015г. заседания комиссии по разработке территориальной программы обязательного медицинского страхования</t>
  </si>
  <si>
    <t>Всего случаев госпитализации:</t>
  </si>
  <si>
    <t xml:space="preserve">Межтерриториальные расчеты </t>
  </si>
  <si>
    <t>Итого  по Программе ОМС</t>
  </si>
  <si>
    <t xml:space="preserve">Всего число койко-дней круглосуточного пребывания </t>
  </si>
  <si>
    <t xml:space="preserve">                     Распределение числа койко-дней по профилям медицинской помощи оказываемых в стационаре на 2016 год</t>
  </si>
  <si>
    <t>Число койко-дней круглосуточного пребывания, граждан застрахованных на территории других субъектов Российской Федерации, оплачиваемые через ТФОМС города Байконур</t>
  </si>
  <si>
    <t>ФГБУЗ ЦМСЧ №1 ФМБА России</t>
  </si>
  <si>
    <t>Х</t>
  </si>
  <si>
    <t>Скорая медицинская помощь</t>
  </si>
  <si>
    <t>Виды медицинской помощи</t>
  </si>
  <si>
    <t>Амбулаторно-поликлиническая помощь</t>
  </si>
  <si>
    <t>Стационарная помощь</t>
  </si>
  <si>
    <t>Медицинская помощь в дневных стационарах всех типов</t>
  </si>
  <si>
    <t>вызовов</t>
  </si>
  <si>
    <t>обслужено лиц</t>
  </si>
  <si>
    <t>посещений   всего</t>
  </si>
  <si>
    <t>в том числе:</t>
  </si>
  <si>
    <t>койко-дней</t>
  </si>
  <si>
    <t>оказываемой в связи с заболеваниями</t>
  </si>
  <si>
    <t>с профилактической целью</t>
  </si>
  <si>
    <t>оказываемая в неотложной форме</t>
  </si>
  <si>
    <t>- скорая медицинская помощь</t>
  </si>
  <si>
    <t>-амбулаторная помощь, оказываемая в неотложной форме</t>
  </si>
  <si>
    <t>-амбулаторная помощь оказываемая с профилактической целью</t>
  </si>
  <si>
    <t>1.Скорая  медицинская помощь</t>
  </si>
  <si>
    <t>2.Амбулаторно-поликлиническая помощь</t>
  </si>
  <si>
    <t>3.Стационарная помощь</t>
  </si>
  <si>
    <t>4.Медицинская помощь в дневных стационарах всех типов</t>
  </si>
  <si>
    <t>5.Санаторная помощь</t>
  </si>
  <si>
    <t>6. Прочие виды медицинской помощи и иных услуг</t>
  </si>
  <si>
    <t xml:space="preserve">7.Высокотехнологичные виды медицинской помощи </t>
  </si>
  <si>
    <t xml:space="preserve">8. Затраты на ведение дела в системе ОМС </t>
  </si>
  <si>
    <t>Всего</t>
  </si>
  <si>
    <t>в связи с заболеваниями</t>
  </si>
  <si>
    <t>в профилактических целях</t>
  </si>
  <si>
    <t>в связи с оказанием неотложной медицинской помощи</t>
  </si>
  <si>
    <t>финансирование при обеспечении перехода на однаканальное финансирование</t>
  </si>
  <si>
    <t>ВСЕГО ОМС</t>
  </si>
  <si>
    <t>I квартал</t>
  </si>
  <si>
    <t>II квартал</t>
  </si>
  <si>
    <t>III квартал</t>
  </si>
  <si>
    <t>IV квартал</t>
  </si>
  <si>
    <t>Амбулаторная помощь</t>
  </si>
  <si>
    <t>стационарная помощь</t>
  </si>
  <si>
    <t>в дневных стационарах</t>
  </si>
  <si>
    <t xml:space="preserve">- амбулаторная помощь, оказываемая в связи с заболеваниями </t>
  </si>
  <si>
    <r>
      <t>9.</t>
    </r>
    <r>
      <rPr>
        <b/>
        <sz val="10"/>
        <rFont val="Times New Roman"/>
        <family val="1"/>
      </rPr>
      <t xml:space="preserve"> Итого </t>
    </r>
    <r>
      <rPr>
        <sz val="10"/>
        <rFont val="Times New Roman"/>
        <family val="1"/>
      </rPr>
      <t xml:space="preserve"> </t>
    </r>
  </si>
  <si>
    <t>в том числе на медицинской реабилитации</t>
  </si>
  <si>
    <t>Межтерриториальные взаиморасчеты</t>
  </si>
  <si>
    <t>в том числе реабилитация</t>
  </si>
  <si>
    <t>Утвержденная стоимость территориальной программы</t>
  </si>
  <si>
    <t>Расчетная стоимость территориальной программы</t>
  </si>
  <si>
    <t>всего
(млн. руб.)</t>
  </si>
  <si>
    <t>I. Средства консолидированного бюджета субъекта Российской Федерации *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</si>
  <si>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</si>
  <si>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</si>
  <si>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</si>
  <si>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</si>
  <si>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</si>
  <si>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</si>
  <si>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</si>
  <si>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</si>
  <si>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</si>
  <si>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10</t>
  </si>
  <si>
    <t>№ строки</t>
  </si>
  <si>
    <t>Единица измерения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</si>
  <si>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</si>
  <si>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Стоимость территориальной программы по источникам ее финансового обеспечения</t>
  </si>
  <si>
    <t>руб.</t>
  </si>
  <si>
    <t>млн. руб.</t>
  </si>
  <si>
    <t>в %
к итогу</t>
  </si>
  <si>
    <t>III. Медицинская помощь в рамках территориальной программы ОМС:</t>
  </si>
  <si>
    <t>вызов</t>
  </si>
  <si>
    <t>обращение</t>
  </si>
  <si>
    <t>к/день</t>
  </si>
  <si>
    <t>- в дневных стационарах</t>
  </si>
  <si>
    <t>Итого по ОМС:</t>
  </si>
  <si>
    <t>Всегопо ТП ОМС:</t>
  </si>
  <si>
    <t>кол - во случаев госпитализации</t>
  </si>
  <si>
    <t xml:space="preserve"> Поквартальное распределение объемов  медицинской помощи по Территориальной программе ОМС на 2016 год</t>
  </si>
  <si>
    <t>Всего:</t>
  </si>
  <si>
    <t>Приложение 2.1                                                                                          к протоколу № 12 от 18 декабря 2015г.  заседания комиссии по разработке территориальной программы обязательного медицинского страхования</t>
  </si>
  <si>
    <t>Всего посещений:</t>
  </si>
  <si>
    <t>2. Медицинская помощь по видам и заболеваниям сверх базовой программы:</t>
  </si>
  <si>
    <t xml:space="preserve">Финансирование </t>
  </si>
  <si>
    <t>2016 год</t>
  </si>
  <si>
    <t>случай госпитализации</t>
  </si>
  <si>
    <t>Поквартальное распределение стоимости оказываемой медицинской помощи для СМО</t>
  </si>
  <si>
    <t>Травматолог-ортопед</t>
  </si>
  <si>
    <t>посещений</t>
  </si>
  <si>
    <t>Базовая ставка подушевого финансового обеспечения скорой медицинской помощи на 2016 год составляет - 598,83 рублей в год на 1-го человека.</t>
  </si>
  <si>
    <t>объем</t>
  </si>
  <si>
    <t>сумма, руб.</t>
  </si>
  <si>
    <t>Базовая ставка подушевого финансового обеспечения амбулаторно-поликлинической помощи на 2016 год составляет - 2896,85 рублей в год на 1-го человека.</t>
  </si>
  <si>
    <t>Акушерство и гинекология (беременных, рожениц и патология беременных)</t>
  </si>
  <si>
    <t xml:space="preserve">                     Распределение числа случаев лечения оказываемых в дневных стационарах всех типов  на 2016 год</t>
  </si>
  <si>
    <t>Распределение числа посещений оказываемых с профилактической целью и неотложной помощи по специальностям на 2016 год</t>
  </si>
  <si>
    <t>1) -амбулаторная помощь оказываемая с профилактической целью</t>
  </si>
  <si>
    <t xml:space="preserve">2) - амбулаторная помощь, оказываемая в связи с заболеваниями </t>
  </si>
  <si>
    <t>Распределение числа вызовов скорой медицинской помощи на 2016 год</t>
  </si>
  <si>
    <t xml:space="preserve">в том числе:   - по подушевому финансированию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</si>
</sst>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_р_."/>
    <numFmt numFmtId="167" formatCode="#,##0.00000"/>
    <numFmt numFmtId="168" formatCode="#,##0.000000"/>
    <numFmt numFmtId="169" formatCode="0.0000000"/>
    <numFmt numFmtId="170" formatCode="0.0000"/>
    <numFmt numFmtId="171" formatCode="0.000"/>
    <numFmt numFmtId="172" formatCode="0.00000"/>
    <numFmt numFmtId="173" formatCode="0.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13">
    <xf numFmtId="0" fontId="0" fillId="0" borderId="0" xfId="0" applyFont="1" applyAlignment="1">
      <alignment/>
    </xf>
    <xf numFmtId="0" fontId="3" fillId="0" borderId="0" xfId="0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2" fillId="0" borderId="0" xfId="54" applyFont="1" applyFill="1" applyAlignment="1">
      <alignment horizontal="left" vertical="center"/>
      <protection/>
    </xf>
    <xf numFmtId="0" fontId="3" fillId="0" borderId="0" xfId="54" applyFont="1" applyFill="1" applyAlignment="1">
      <alignment horizontal="left" vertical="center"/>
      <protection/>
    </xf>
    <xf numFmtId="3" fontId="3" fillId="0" borderId="0" xfId="0" applyNumberFormat="1" applyFont="1" applyFill="1" applyAlignment="1">
      <alignment vertical="justify"/>
    </xf>
    <xf numFmtId="4" fontId="3" fillId="0" borderId="0" xfId="0" applyNumberFormat="1" applyFont="1" applyFill="1" applyAlignment="1">
      <alignment vertical="justify"/>
    </xf>
    <xf numFmtId="164" fontId="3" fillId="0" borderId="0" xfId="0" applyNumberFormat="1" applyFont="1" applyFill="1" applyAlignment="1">
      <alignment vertical="justify"/>
    </xf>
    <xf numFmtId="1" fontId="3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4" fontId="3" fillId="0" borderId="12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justify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justify"/>
    </xf>
    <xf numFmtId="4" fontId="2" fillId="0" borderId="12" xfId="0" applyNumberFormat="1" applyFont="1" applyFill="1" applyBorder="1" applyAlignment="1">
      <alignment vertical="justify"/>
    </xf>
    <xf numFmtId="4" fontId="3" fillId="0" borderId="10" xfId="0" applyNumberFormat="1" applyFont="1" applyFill="1" applyBorder="1" applyAlignment="1">
      <alignment vertical="justify"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3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3" fillId="0" borderId="13" xfId="54" applyNumberFormat="1" applyFont="1" applyFill="1" applyBorder="1" applyAlignment="1">
      <alignment horizontal="center" vertical="center"/>
      <protection/>
    </xf>
    <xf numFmtId="165" fontId="3" fillId="0" borderId="13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3" fontId="9" fillId="0" borderId="0" xfId="0" applyNumberFormat="1" applyFont="1" applyFill="1" applyAlignment="1">
      <alignment/>
    </xf>
    <xf numFmtId="0" fontId="3" fillId="0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 vertical="center"/>
      <protection/>
    </xf>
    <xf numFmtId="0" fontId="3" fillId="0" borderId="0" xfId="54" applyFont="1" applyFill="1" applyBorder="1" applyAlignment="1">
      <alignment vertical="center"/>
      <protection/>
    </xf>
    <xf numFmtId="49" fontId="2" fillId="0" borderId="13" xfId="54" applyNumberFormat="1" applyFont="1" applyFill="1" applyBorder="1" applyAlignment="1">
      <alignment vertical="center" wrapText="1"/>
      <protection/>
    </xf>
    <xf numFmtId="49" fontId="3" fillId="0" borderId="13" xfId="54" applyNumberFormat="1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0" xfId="54" applyNumberFormat="1" applyFont="1" applyFill="1" applyBorder="1" applyAlignment="1">
      <alignment horizontal="center" vertical="top"/>
      <protection/>
    </xf>
    <xf numFmtId="49" fontId="2" fillId="0" borderId="13" xfId="54" applyNumberFormat="1" applyFont="1" applyFill="1" applyBorder="1" applyAlignment="1">
      <alignment vertical="center"/>
      <protection/>
    </xf>
    <xf numFmtId="49" fontId="3" fillId="0" borderId="13" xfId="54" applyNumberFormat="1" applyFont="1" applyFill="1" applyBorder="1" applyAlignment="1">
      <alignment vertical="center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vertical="center"/>
      <protection/>
    </xf>
    <xf numFmtId="4" fontId="3" fillId="0" borderId="13" xfId="54" applyNumberFormat="1" applyFont="1" applyFill="1" applyBorder="1" applyAlignment="1">
      <alignment vertical="center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4" fontId="3" fillId="0" borderId="13" xfId="60" applyNumberFormat="1" applyFont="1" applyFill="1" applyBorder="1" applyAlignment="1">
      <alignment vertical="center" wrapText="1"/>
      <protection/>
    </xf>
    <xf numFmtId="165" fontId="3" fillId="0" borderId="13" xfId="54" applyNumberFormat="1" applyFont="1" applyFill="1" applyBorder="1" applyAlignment="1">
      <alignment vertical="center"/>
      <protection/>
    </xf>
    <xf numFmtId="165" fontId="3" fillId="0" borderId="13" xfId="60" applyNumberFormat="1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justify"/>
    </xf>
    <xf numFmtId="4" fontId="2" fillId="0" borderId="10" xfId="0" applyNumberFormat="1" applyFont="1" applyFill="1" applyBorder="1" applyAlignment="1">
      <alignment vertical="justify"/>
    </xf>
    <xf numFmtId="4" fontId="9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6" fontId="18" fillId="0" borderId="15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9" fontId="18" fillId="0" borderId="18" xfId="0" applyNumberFormat="1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49" fontId="19" fillId="0" borderId="18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/>
    </xf>
    <xf numFmtId="0" fontId="18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vertical="justify"/>
    </xf>
    <xf numFmtId="4" fontId="10" fillId="0" borderId="0" xfId="0" applyNumberFormat="1" applyFont="1" applyFill="1" applyAlignment="1">
      <alignment vertical="justify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wrapText="1"/>
    </xf>
    <xf numFmtId="0" fontId="9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3" fontId="18" fillId="0" borderId="39" xfId="0" applyNumberFormat="1" applyFont="1" applyFill="1" applyBorder="1" applyAlignment="1">
      <alignment horizontal="center"/>
    </xf>
    <xf numFmtId="0" fontId="18" fillId="0" borderId="39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9" fillId="0" borderId="36" xfId="0" applyFont="1" applyFill="1" applyBorder="1" applyAlignment="1">
      <alignment horizontal="center" wrapText="1"/>
    </xf>
    <xf numFmtId="166" fontId="18" fillId="0" borderId="0" xfId="0" applyNumberFormat="1" applyFont="1" applyFill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166" fontId="18" fillId="0" borderId="15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center"/>
    </xf>
    <xf numFmtId="166" fontId="19" fillId="0" borderId="39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top" wrapText="1"/>
    </xf>
    <xf numFmtId="2" fontId="18" fillId="0" borderId="4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35" xfId="0" applyNumberFormat="1" applyFont="1" applyFill="1" applyBorder="1" applyAlignment="1">
      <alignment horizontal="center"/>
    </xf>
    <xf numFmtId="3" fontId="18" fillId="0" borderId="42" xfId="0" applyNumberFormat="1" applyFont="1" applyFill="1" applyBorder="1" applyAlignment="1">
      <alignment horizontal="center"/>
    </xf>
    <xf numFmtId="3" fontId="18" fillId="0" borderId="43" xfId="0" applyNumberFormat="1" applyFont="1" applyFill="1" applyBorder="1" applyAlignment="1">
      <alignment horizontal="center"/>
    </xf>
    <xf numFmtId="0" fontId="18" fillId="0" borderId="42" xfId="0" applyNumberFormat="1" applyFont="1" applyFill="1" applyBorder="1" applyAlignment="1">
      <alignment horizontal="center"/>
    </xf>
    <xf numFmtId="0" fontId="18" fillId="0" borderId="4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3" fontId="18" fillId="0" borderId="44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8" fillId="0" borderId="36" xfId="0" applyNumberFormat="1" applyFont="1" applyFill="1" applyBorder="1" applyAlignment="1">
      <alignment horizontal="center"/>
    </xf>
    <xf numFmtId="3" fontId="19" fillId="0" borderId="45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justify" indent="1"/>
    </xf>
    <xf numFmtId="0" fontId="11" fillId="0" borderId="43" xfId="0" applyFont="1" applyFill="1" applyBorder="1" applyAlignment="1">
      <alignment vertical="justify"/>
    </xf>
    <xf numFmtId="0" fontId="11" fillId="0" borderId="43" xfId="0" applyFont="1" applyFill="1" applyBorder="1" applyAlignment="1">
      <alignment horizontal="center" vertical="justify"/>
    </xf>
    <xf numFmtId="0" fontId="11" fillId="0" borderId="28" xfId="0" applyFont="1" applyFill="1" applyBorder="1" applyAlignment="1">
      <alignment horizontal="center" vertical="justify"/>
    </xf>
    <xf numFmtId="0" fontId="11" fillId="0" borderId="28" xfId="0" applyFont="1" applyFill="1" applyBorder="1" applyAlignment="1">
      <alignment vertical="justify"/>
    </xf>
    <xf numFmtId="0" fontId="7" fillId="0" borderId="22" xfId="0" applyFont="1" applyFill="1" applyBorder="1" applyAlignment="1">
      <alignment vertical="center"/>
    </xf>
    <xf numFmtId="4" fontId="7" fillId="0" borderId="46" xfId="0" applyNumberFormat="1" applyFont="1" applyFill="1" applyBorder="1" applyAlignment="1">
      <alignment vertical="center"/>
    </xf>
    <xf numFmtId="4" fontId="7" fillId="0" borderId="46" xfId="0" applyNumberFormat="1" applyFont="1" applyFill="1" applyBorder="1" applyAlignment="1">
      <alignment horizontal="center" vertical="center"/>
    </xf>
    <xf numFmtId="4" fontId="7" fillId="0" borderId="4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4" fontId="11" fillId="0" borderId="41" xfId="0" applyNumberFormat="1" applyFont="1" applyFill="1" applyBorder="1" applyAlignment="1">
      <alignment vertical="center"/>
    </xf>
    <xf numFmtId="4" fontId="11" fillId="0" borderId="41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top" wrapText="1"/>
    </xf>
    <xf numFmtId="167" fontId="3" fillId="0" borderId="13" xfId="54" applyNumberFormat="1" applyFont="1" applyFill="1" applyBorder="1" applyAlignment="1">
      <alignment vertical="center"/>
      <protection/>
    </xf>
    <xf numFmtId="171" fontId="3" fillId="0" borderId="0" xfId="54" applyNumberFormat="1" applyFont="1" applyFill="1" applyAlignment="1">
      <alignment horizontal="left"/>
      <protection/>
    </xf>
    <xf numFmtId="171" fontId="2" fillId="0" borderId="13" xfId="54" applyNumberFormat="1" applyFont="1" applyFill="1" applyBorder="1" applyAlignment="1">
      <alignment vertical="center" wrapText="1"/>
      <protection/>
    </xf>
    <xf numFmtId="171" fontId="2" fillId="0" borderId="10" xfId="54" applyNumberFormat="1" applyFont="1" applyFill="1" applyBorder="1" applyAlignment="1">
      <alignment horizontal="center" vertical="center"/>
      <protection/>
    </xf>
    <xf numFmtId="171" fontId="2" fillId="0" borderId="13" xfId="54" applyNumberFormat="1" applyFont="1" applyFill="1" applyBorder="1" applyAlignment="1">
      <alignment vertical="center"/>
      <protection/>
    </xf>
    <xf numFmtId="171" fontId="3" fillId="0" borderId="13" xfId="54" applyNumberFormat="1" applyFont="1" applyFill="1" applyBorder="1" applyAlignment="1">
      <alignment vertical="center"/>
      <protection/>
    </xf>
    <xf numFmtId="171" fontId="3" fillId="0" borderId="13" xfId="60" applyNumberFormat="1" applyFont="1" applyFill="1" applyBorder="1" applyAlignment="1">
      <alignment vertical="center" wrapText="1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4" fontId="9" fillId="0" borderId="3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9" fontId="3" fillId="0" borderId="13" xfId="54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 vertical="justify" wrapText="1"/>
    </xf>
    <xf numFmtId="0" fontId="13" fillId="0" borderId="0" xfId="54" applyNumberFormat="1" applyFont="1" applyBorder="1" applyAlignment="1">
      <alignment vertical="center" wrapText="1"/>
      <protection/>
    </xf>
    <xf numFmtId="0" fontId="2" fillId="0" borderId="0" xfId="54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1" fillId="0" borderId="0" xfId="54" applyFont="1" applyBorder="1" applyAlignment="1">
      <alignment vertical="center"/>
      <protection/>
    </xf>
    <xf numFmtId="0" fontId="14" fillId="0" borderId="0" xfId="54" applyNumberFormat="1" applyFont="1" applyBorder="1" applyAlignment="1">
      <alignment vertical="top" wrapText="1"/>
      <protection/>
    </xf>
    <xf numFmtId="0" fontId="2" fillId="0" borderId="48" xfId="54" applyFont="1" applyBorder="1" applyAlignment="1">
      <alignment wrapText="1"/>
      <protection/>
    </xf>
    <xf numFmtId="0" fontId="16" fillId="0" borderId="48" xfId="54" applyFont="1" applyBorder="1" applyAlignment="1">
      <alignment wrapText="1"/>
      <protection/>
    </xf>
    <xf numFmtId="0" fontId="16" fillId="0" borderId="48" xfId="54" applyFont="1" applyFill="1" applyBorder="1" applyAlignment="1">
      <alignment wrapText="1"/>
      <protection/>
    </xf>
    <xf numFmtId="0" fontId="3" fillId="0" borderId="48" xfId="54" applyFont="1" applyFill="1" applyBorder="1" applyAlignment="1">
      <alignment vertical="center" wrapText="1"/>
      <protection/>
    </xf>
    <xf numFmtId="0" fontId="3" fillId="0" borderId="40" xfId="54" applyFont="1" applyFill="1" applyBorder="1" applyAlignment="1">
      <alignment vertical="center" wrapText="1"/>
      <protection/>
    </xf>
    <xf numFmtId="0" fontId="3" fillId="0" borderId="48" xfId="54" applyFont="1" applyBorder="1" applyAlignment="1">
      <alignment wrapText="1"/>
      <protection/>
    </xf>
    <xf numFmtId="49" fontId="3" fillId="0" borderId="13" xfId="54" applyNumberFormat="1" applyFont="1" applyBorder="1" applyAlignment="1">
      <alignment horizontal="center" vertical="top"/>
      <protection/>
    </xf>
    <xf numFmtId="171" fontId="13" fillId="0" borderId="10" xfId="60" applyNumberFormat="1" applyFont="1" applyBorder="1" applyAlignment="1">
      <alignment/>
      <protection/>
    </xf>
    <xf numFmtId="4" fontId="13" fillId="0" borderId="10" xfId="60" applyNumberFormat="1" applyFont="1" applyBorder="1" applyAlignment="1">
      <alignment/>
      <protection/>
    </xf>
    <xf numFmtId="171" fontId="22" fillId="0" borderId="10" xfId="60" applyNumberFormat="1" applyFont="1" applyBorder="1" applyAlignment="1">
      <alignment/>
      <protection/>
    </xf>
    <xf numFmtId="2" fontId="10" fillId="0" borderId="10" xfId="60" applyNumberFormat="1" applyFont="1" applyFill="1" applyBorder="1" applyAlignment="1">
      <alignment wrapText="1"/>
      <protection/>
    </xf>
    <xf numFmtId="171" fontId="10" fillId="0" borderId="10" xfId="60" applyNumberFormat="1" applyFont="1" applyFill="1" applyBorder="1" applyAlignment="1">
      <alignment wrapText="1"/>
      <protection/>
    </xf>
    <xf numFmtId="0" fontId="13" fillId="0" borderId="10" xfId="54" applyFont="1" applyBorder="1" applyAlignment="1">
      <alignment wrapText="1"/>
      <protection/>
    </xf>
    <xf numFmtId="0" fontId="23" fillId="0" borderId="10" xfId="54" applyFont="1" applyBorder="1" applyAlignment="1">
      <alignment wrapText="1"/>
      <protection/>
    </xf>
    <xf numFmtId="171" fontId="13" fillId="0" borderId="10" xfId="54" applyNumberFormat="1" applyFont="1" applyBorder="1" applyAlignment="1">
      <alignment wrapText="1"/>
      <protection/>
    </xf>
    <xf numFmtId="4" fontId="13" fillId="0" borderId="10" xfId="54" applyNumberFormat="1" applyFont="1" applyBorder="1" applyAlignment="1">
      <alignment wrapText="1"/>
      <protection/>
    </xf>
    <xf numFmtId="171" fontId="23" fillId="0" borderId="10" xfId="54" applyNumberFormat="1" applyFont="1" applyBorder="1" applyAlignment="1">
      <alignment wrapText="1"/>
      <protection/>
    </xf>
    <xf numFmtId="171" fontId="24" fillId="0" borderId="10" xfId="54" applyNumberFormat="1" applyFont="1" applyBorder="1" applyAlignment="1">
      <alignment wrapText="1"/>
      <protection/>
    </xf>
    <xf numFmtId="4" fontId="24" fillId="0" borderId="10" xfId="54" applyNumberFormat="1" applyFont="1" applyBorder="1" applyAlignment="1">
      <alignment wrapText="1"/>
      <protection/>
    </xf>
    <xf numFmtId="2" fontId="24" fillId="0" borderId="10" xfId="54" applyNumberFormat="1" applyFont="1" applyBorder="1" applyAlignment="1">
      <alignment wrapText="1"/>
      <protection/>
    </xf>
    <xf numFmtId="171" fontId="24" fillId="0" borderId="10" xfId="54" applyNumberFormat="1" applyFont="1" applyFill="1" applyBorder="1" applyAlignment="1">
      <alignment wrapText="1"/>
      <protection/>
    </xf>
    <xf numFmtId="2" fontId="24" fillId="0" borderId="10" xfId="54" applyNumberFormat="1" applyFont="1" applyFill="1" applyBorder="1" applyAlignment="1">
      <alignment wrapText="1"/>
      <protection/>
    </xf>
    <xf numFmtId="171" fontId="10" fillId="0" borderId="10" xfId="54" applyNumberFormat="1" applyFont="1" applyFill="1" applyBorder="1" applyAlignment="1">
      <alignment vertical="center" wrapText="1"/>
      <protection/>
    </xf>
    <xf numFmtId="2" fontId="10" fillId="0" borderId="10" xfId="54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 horizontal="left" wrapText="1"/>
    </xf>
    <xf numFmtId="165" fontId="3" fillId="0" borderId="0" xfId="54" applyNumberFormat="1" applyFont="1" applyBorder="1" applyAlignment="1">
      <alignment vertical="top"/>
      <protection/>
    </xf>
    <xf numFmtId="0" fontId="2" fillId="0" borderId="0" xfId="54" applyFont="1" applyBorder="1" applyAlignment="1">
      <alignment wrapText="1"/>
      <protection/>
    </xf>
    <xf numFmtId="0" fontId="15" fillId="0" borderId="0" xfId="60" applyFont="1" applyBorder="1" applyAlignment="1">
      <alignment/>
      <protection/>
    </xf>
    <xf numFmtId="0" fontId="16" fillId="0" borderId="0" xfId="54" applyFont="1" applyBorder="1" applyAlignment="1">
      <alignment wrapText="1"/>
      <protection/>
    </xf>
    <xf numFmtId="0" fontId="16" fillId="0" borderId="0" xfId="54" applyFont="1" applyFill="1" applyBorder="1" applyAlignment="1">
      <alignment wrapText="1"/>
      <protection/>
    </xf>
    <xf numFmtId="0" fontId="15" fillId="0" borderId="0" xfId="60" applyFont="1" applyFill="1" applyBorder="1" applyAlignment="1">
      <alignment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23" fillId="0" borderId="15" xfId="54" applyFont="1" applyBorder="1" applyAlignment="1">
      <alignment wrapText="1"/>
      <protection/>
    </xf>
    <xf numFmtId="4" fontId="23" fillId="0" borderId="15" xfId="54" applyNumberFormat="1" applyFont="1" applyBorder="1" applyAlignment="1">
      <alignment wrapText="1"/>
      <protection/>
    </xf>
    <xf numFmtId="4" fontId="22" fillId="0" borderId="15" xfId="60" applyNumberFormat="1" applyFont="1" applyBorder="1" applyAlignment="1">
      <alignment/>
      <protection/>
    </xf>
    <xf numFmtId="4" fontId="24" fillId="0" borderId="15" xfId="54" applyNumberFormat="1" applyFont="1" applyBorder="1" applyAlignment="1">
      <alignment wrapText="1"/>
      <protection/>
    </xf>
    <xf numFmtId="2" fontId="24" fillId="0" borderId="15" xfId="54" applyNumberFormat="1" applyFont="1" applyBorder="1" applyAlignment="1">
      <alignment wrapText="1"/>
      <protection/>
    </xf>
    <xf numFmtId="2" fontId="24" fillId="0" borderId="15" xfId="54" applyNumberFormat="1" applyFont="1" applyFill="1" applyBorder="1" applyAlignment="1">
      <alignment wrapText="1"/>
      <protection/>
    </xf>
    <xf numFmtId="2" fontId="10" fillId="0" borderId="15" xfId="60" applyNumberFormat="1" applyFont="1" applyFill="1" applyBorder="1" applyAlignment="1">
      <alignment wrapText="1"/>
      <protection/>
    </xf>
    <xf numFmtId="2" fontId="10" fillId="0" borderId="15" xfId="54" applyNumberFormat="1" applyFont="1" applyFill="1" applyBorder="1" applyAlignment="1">
      <alignment vertical="center" wrapText="1"/>
      <protection/>
    </xf>
    <xf numFmtId="49" fontId="3" fillId="0" borderId="36" xfId="54" applyNumberFormat="1" applyFont="1" applyBorder="1" applyAlignment="1">
      <alignment horizontal="center" vertical="top"/>
      <protection/>
    </xf>
    <xf numFmtId="171" fontId="10" fillId="0" borderId="28" xfId="54" applyNumberFormat="1" applyFont="1" applyFill="1" applyBorder="1" applyAlignment="1">
      <alignment vertical="center" wrapText="1"/>
      <protection/>
    </xf>
    <xf numFmtId="2" fontId="10" fillId="0" borderId="28" xfId="54" applyNumberFormat="1" applyFont="1" applyFill="1" applyBorder="1" applyAlignment="1">
      <alignment vertical="center" wrapText="1"/>
      <protection/>
    </xf>
    <xf numFmtId="2" fontId="10" fillId="0" borderId="24" xfId="54" applyNumberFormat="1" applyFont="1" applyFill="1" applyBorder="1" applyAlignment="1">
      <alignment vertical="center" wrapText="1"/>
      <protection/>
    </xf>
    <xf numFmtId="0" fontId="2" fillId="0" borderId="17" xfId="54" applyNumberFormat="1" applyFont="1" applyBorder="1" applyAlignment="1">
      <alignment horizontal="center" vertical="top" wrapText="1"/>
      <protection/>
    </xf>
    <xf numFmtId="0" fontId="14" fillId="0" borderId="17" xfId="54" applyNumberFormat="1" applyFont="1" applyBorder="1" applyAlignment="1">
      <alignment horizontal="center" vertical="top" wrapText="1"/>
      <protection/>
    </xf>
    <xf numFmtId="0" fontId="14" fillId="0" borderId="27" xfId="54" applyNumberFormat="1" applyFont="1" applyBorder="1" applyAlignment="1">
      <alignment horizontal="center" vertical="top" wrapText="1"/>
      <protection/>
    </xf>
    <xf numFmtId="0" fontId="2" fillId="0" borderId="49" xfId="54" applyFont="1" applyBorder="1" applyAlignment="1">
      <alignment horizontal="left" wrapText="1"/>
      <protection/>
    </xf>
    <xf numFmtId="49" fontId="3" fillId="0" borderId="34" xfId="54" applyNumberFormat="1" applyFont="1" applyBorder="1" applyAlignment="1">
      <alignment horizontal="center" vertical="top"/>
      <protection/>
    </xf>
    <xf numFmtId="4" fontId="13" fillId="0" borderId="33" xfId="54" applyNumberFormat="1" applyFont="1" applyBorder="1" applyAlignment="1">
      <alignment vertical="top"/>
      <protection/>
    </xf>
    <xf numFmtId="165" fontId="23" fillId="0" borderId="33" xfId="54" applyNumberFormat="1" applyFont="1" applyBorder="1" applyAlignment="1">
      <alignment vertical="top"/>
      <protection/>
    </xf>
    <xf numFmtId="165" fontId="23" fillId="0" borderId="29" xfId="54" applyNumberFormat="1" applyFont="1" applyBorder="1" applyAlignment="1">
      <alignment vertical="top"/>
      <protection/>
    </xf>
    <xf numFmtId="0" fontId="13" fillId="0" borderId="22" xfId="54" applyNumberFormat="1" applyFont="1" applyBorder="1" applyAlignment="1">
      <alignment horizontal="center" vertical="center" wrapText="1"/>
      <protection/>
    </xf>
    <xf numFmtId="0" fontId="2" fillId="0" borderId="50" xfId="54" applyNumberFormat="1" applyFont="1" applyBorder="1" applyAlignment="1">
      <alignment horizontal="center" vertical="center" wrapText="1"/>
      <protection/>
    </xf>
    <xf numFmtId="0" fontId="2" fillId="0" borderId="25" xfId="54" applyNumberFormat="1" applyFont="1" applyBorder="1" applyAlignment="1">
      <alignment horizontal="center" vertical="center" wrapText="1"/>
      <protection/>
    </xf>
    <xf numFmtId="0" fontId="2" fillId="0" borderId="26" xfId="54" applyNumberFormat="1" applyFont="1" applyBorder="1" applyAlignment="1">
      <alignment horizontal="center" vertical="center" wrapText="1"/>
      <protection/>
    </xf>
    <xf numFmtId="171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1" fontId="10" fillId="0" borderId="0" xfId="0" applyNumberFormat="1" applyFont="1" applyAlignment="1">
      <alignment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/>
    </xf>
    <xf numFmtId="0" fontId="13" fillId="0" borderId="30" xfId="0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1" fontId="27" fillId="0" borderId="36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wrapText="1"/>
    </xf>
    <xf numFmtId="0" fontId="28" fillId="34" borderId="22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1" fontId="28" fillId="0" borderId="22" xfId="0" applyNumberFormat="1" applyFont="1" applyFill="1" applyBorder="1" applyAlignment="1">
      <alignment horizontal="center" wrapText="1"/>
    </xf>
    <xf numFmtId="1" fontId="28" fillId="0" borderId="25" xfId="0" applyNumberFormat="1" applyFont="1" applyFill="1" applyBorder="1" applyAlignment="1">
      <alignment horizontal="center" wrapText="1"/>
    </xf>
    <xf numFmtId="1" fontId="28" fillId="0" borderId="50" xfId="0" applyNumberFormat="1" applyFont="1" applyFill="1" applyBorder="1" applyAlignment="1">
      <alignment horizontal="center" wrapText="1"/>
    </xf>
    <xf numFmtId="1" fontId="28" fillId="0" borderId="26" xfId="0" applyNumberFormat="1" applyFont="1" applyFill="1" applyBorder="1" applyAlignment="1">
      <alignment horizontal="center" wrapText="1"/>
    </xf>
    <xf numFmtId="1" fontId="28" fillId="0" borderId="46" xfId="0" applyNumberFormat="1" applyFont="1" applyFill="1" applyBorder="1" applyAlignment="1">
      <alignment horizontal="center" wrapText="1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10" fillId="0" borderId="49" xfId="0" applyFont="1" applyFill="1" applyBorder="1" applyAlignment="1">
      <alignment wrapText="1"/>
    </xf>
    <xf numFmtId="1" fontId="13" fillId="34" borderId="2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3" fillId="35" borderId="4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/>
    </xf>
    <xf numFmtId="0" fontId="10" fillId="0" borderId="48" xfId="0" applyFont="1" applyFill="1" applyBorder="1" applyAlignment="1">
      <alignment wrapText="1"/>
    </xf>
    <xf numFmtId="1" fontId="13" fillId="34" borderId="14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3" fillId="35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1" fontId="13" fillId="34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3" fillId="35" borderId="53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/>
    </xf>
    <xf numFmtId="1" fontId="10" fillId="0" borderId="55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" fontId="10" fillId="0" borderId="15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0" fillId="0" borderId="54" xfId="0" applyFont="1" applyFill="1" applyBorder="1" applyAlignment="1">
      <alignment wrapText="1"/>
    </xf>
    <xf numFmtId="1" fontId="10" fillId="0" borderId="17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3" fillId="0" borderId="53" xfId="0" applyNumberFormat="1" applyFont="1" applyBorder="1" applyAlignment="1">
      <alignment horizontal="center"/>
    </xf>
    <xf numFmtId="1" fontId="10" fillId="0" borderId="54" xfId="0" applyNumberFormat="1" applyFont="1" applyBorder="1" applyAlignment="1">
      <alignment horizontal="center"/>
    </xf>
    <xf numFmtId="1" fontId="10" fillId="0" borderId="52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 wrapText="1"/>
    </xf>
    <xf numFmtId="1" fontId="13" fillId="34" borderId="22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1" fontId="13" fillId="35" borderId="46" xfId="0" applyNumberFormat="1" applyFont="1" applyFill="1" applyBorder="1" applyAlignment="1">
      <alignment horizontal="center" vertical="center" wrapText="1"/>
    </xf>
    <xf numFmtId="1" fontId="13" fillId="0" borderId="50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1" fontId="13" fillId="0" borderId="5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1" fontId="13" fillId="34" borderId="43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1" fontId="13" fillId="35" borderId="43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13" fillId="34" borderId="28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35" borderId="28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 wrapText="1"/>
    </xf>
    <xf numFmtId="2" fontId="25" fillId="0" borderId="0" xfId="0" applyNumberFormat="1" applyFont="1" applyAlignment="1">
      <alignment horizontal="center"/>
    </xf>
    <xf numFmtId="0" fontId="13" fillId="36" borderId="0" xfId="0" applyFont="1" applyFill="1" applyBorder="1" applyAlignment="1" applyProtection="1">
      <alignment horizontal="center" vertical="center" wrapText="1"/>
      <protection locked="0"/>
    </xf>
    <xf numFmtId="0" fontId="13" fillId="36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26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1" fontId="7" fillId="0" borderId="22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11" fillId="0" borderId="32" xfId="0" applyFont="1" applyFill="1" applyBorder="1" applyAlignment="1">
      <alignment horizontal="left" vertical="center" wrapText="1"/>
    </xf>
    <xf numFmtId="1" fontId="11" fillId="0" borderId="33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11" fillId="0" borderId="59" xfId="0" applyFont="1" applyFill="1" applyBorder="1" applyAlignment="1">
      <alignment horizontal="left" vertical="center" wrapText="1"/>
    </xf>
    <xf numFmtId="1" fontId="11" fillId="0" borderId="17" xfId="0" applyNumberFormat="1" applyFont="1" applyBorder="1" applyAlignment="1">
      <alignment horizontal="center"/>
    </xf>
    <xf numFmtId="1" fontId="11" fillId="0" borderId="54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170" fontId="11" fillId="0" borderId="0" xfId="0" applyNumberFormat="1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justify" wrapText="1"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29" fillId="36" borderId="6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29" fillId="36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36" borderId="36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29" fillId="36" borderId="27" xfId="0" applyFont="1" applyFill="1" applyBorder="1" applyAlignment="1">
      <alignment horizontal="center" vertical="center" wrapText="1"/>
    </xf>
    <xf numFmtId="0" fontId="29" fillId="36" borderId="22" xfId="0" applyFont="1" applyFill="1" applyBorder="1" applyAlignment="1">
      <alignment horizontal="center" vertical="center" wrapText="1"/>
    </xf>
    <xf numFmtId="0" fontId="29" fillId="36" borderId="25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36" borderId="26" xfId="0" applyFont="1" applyFill="1" applyBorder="1" applyAlignment="1">
      <alignment horizontal="center" vertical="center" wrapText="1"/>
    </xf>
    <xf numFmtId="0" fontId="29" fillId="36" borderId="50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4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1" fillId="36" borderId="32" xfId="0" applyFont="1" applyFill="1" applyBorder="1" applyAlignment="1">
      <alignment horizontal="left" vertical="center" wrapText="1"/>
    </xf>
    <xf numFmtId="1" fontId="31" fillId="36" borderId="33" xfId="0" applyNumberFormat="1" applyFont="1" applyFill="1" applyBorder="1" applyAlignment="1" applyProtection="1">
      <alignment horizontal="center" vertical="center" wrapText="1"/>
      <protection/>
    </xf>
    <xf numFmtId="1" fontId="7" fillId="35" borderId="23" xfId="0" applyNumberFormat="1" applyFont="1" applyFill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74" fontId="7" fillId="34" borderId="41" xfId="0" applyNumberFormat="1" applyFont="1" applyFill="1" applyBorder="1" applyAlignment="1">
      <alignment horizontal="center"/>
    </xf>
    <xf numFmtId="174" fontId="11" fillId="0" borderId="33" xfId="0" applyNumberFormat="1" applyFont="1" applyBorder="1" applyAlignment="1">
      <alignment horizontal="center"/>
    </xf>
    <xf numFmtId="174" fontId="11" fillId="0" borderId="34" xfId="0" applyNumberFormat="1" applyFont="1" applyBorder="1" applyAlignment="1">
      <alignment horizontal="center"/>
    </xf>
    <xf numFmtId="1" fontId="29" fillId="35" borderId="23" xfId="0" applyNumberFormat="1" applyFont="1" applyFill="1" applyBorder="1" applyAlignment="1" applyProtection="1">
      <alignment horizontal="center" vertical="center" wrapText="1"/>
      <protection/>
    </xf>
    <xf numFmtId="1" fontId="31" fillId="36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11" fillId="0" borderId="49" xfId="0" applyNumberFormat="1" applyFont="1" applyBorder="1" applyAlignment="1">
      <alignment horizontal="center"/>
    </xf>
    <xf numFmtId="0" fontId="31" fillId="36" borderId="18" xfId="0" applyFont="1" applyFill="1" applyBorder="1" applyAlignment="1">
      <alignment horizontal="left" vertical="center" wrapText="1"/>
    </xf>
    <xf numFmtId="1" fontId="31" fillId="36" borderId="10" xfId="0" applyNumberFormat="1" applyFont="1" applyFill="1" applyBorder="1" applyAlignment="1" applyProtection="1">
      <alignment horizontal="center" vertical="center" wrapText="1"/>
      <protection/>
    </xf>
    <xf numFmtId="1" fontId="31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35" borderId="14" xfId="0" applyNumberFormat="1" applyFont="1" applyFill="1" applyBorder="1" applyAlignment="1">
      <alignment horizontal="center"/>
    </xf>
    <xf numFmtId="174" fontId="7" fillId="34" borderId="12" xfId="0" applyNumberFormat="1" applyFont="1" applyFill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4" fontId="11" fillId="0" borderId="13" xfId="0" applyNumberFormat="1" applyFont="1" applyBorder="1" applyAlignment="1">
      <alignment horizontal="center"/>
    </xf>
    <xf numFmtId="1" fontId="29" fillId="35" borderId="14" xfId="0" applyNumberFormat="1" applyFont="1" applyFill="1" applyBorder="1" applyAlignment="1" applyProtection="1">
      <alignment horizontal="center" vertical="center" wrapText="1"/>
      <protection/>
    </xf>
    <xf numFmtId="1" fontId="31" fillId="36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11" fillId="0" borderId="48" xfId="0" applyNumberFormat="1" applyFont="1" applyBorder="1" applyAlignment="1">
      <alignment horizontal="center"/>
    </xf>
    <xf numFmtId="1" fontId="7" fillId="35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74" fontId="7" fillId="34" borderId="12" xfId="0" applyNumberFormat="1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0" fontId="31" fillId="36" borderId="59" xfId="0" applyFont="1" applyFill="1" applyBorder="1" applyAlignment="1">
      <alignment horizontal="left" vertical="center" wrapText="1"/>
    </xf>
    <xf numFmtId="1" fontId="31" fillId="36" borderId="17" xfId="0" applyNumberFormat="1" applyFont="1" applyFill="1" applyBorder="1" applyAlignment="1" applyProtection="1">
      <alignment horizontal="center" vertical="center" wrapText="1"/>
      <protection/>
    </xf>
    <xf numFmtId="1" fontId="7" fillId="35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74" fontId="7" fillId="34" borderId="53" xfId="0" applyNumberFormat="1" applyFont="1" applyFill="1" applyBorder="1" applyAlignment="1">
      <alignment horizontal="center" vertical="center"/>
    </xf>
    <xf numFmtId="174" fontId="11" fillId="0" borderId="17" xfId="0" applyNumberFormat="1" applyFont="1" applyBorder="1" applyAlignment="1">
      <alignment horizontal="center" vertical="center"/>
    </xf>
    <xf numFmtId="174" fontId="11" fillId="0" borderId="54" xfId="0" applyNumberFormat="1" applyFont="1" applyBorder="1" applyAlignment="1">
      <alignment horizontal="center" vertical="center"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31" fillId="36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6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11" fillId="0" borderId="52" xfId="0" applyNumberFormat="1" applyFont="1" applyBorder="1" applyAlignment="1">
      <alignment horizontal="center"/>
    </xf>
    <xf numFmtId="1" fontId="7" fillId="35" borderId="17" xfId="0" applyNumberFormat="1" applyFont="1" applyFill="1" applyBorder="1" applyAlignment="1">
      <alignment horizontal="center" vertical="center"/>
    </xf>
    <xf numFmtId="174" fontId="7" fillId="34" borderId="17" xfId="0" applyNumberFormat="1" applyFont="1" applyFill="1" applyBorder="1" applyAlignment="1">
      <alignment horizontal="center" vertical="center"/>
    </xf>
    <xf numFmtId="1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/>
    </xf>
    <xf numFmtId="0" fontId="29" fillId="36" borderId="62" xfId="0" applyFont="1" applyFill="1" applyBorder="1" applyAlignment="1">
      <alignment horizontal="left" vertical="center" wrapText="1"/>
    </xf>
    <xf numFmtId="1" fontId="29" fillId="36" borderId="63" xfId="0" applyNumberFormat="1" applyFont="1" applyFill="1" applyBorder="1" applyAlignment="1" applyProtection="1">
      <alignment horizontal="center" vertical="center" wrapText="1"/>
      <protection/>
    </xf>
    <xf numFmtId="1" fontId="29" fillId="0" borderId="63" xfId="0" applyNumberFormat="1" applyFont="1" applyFill="1" applyBorder="1" applyAlignment="1" applyProtection="1">
      <alignment horizontal="center" vertical="center" wrapText="1"/>
      <protection/>
    </xf>
    <xf numFmtId="1" fontId="7" fillId="35" borderId="62" xfId="0" applyNumberFormat="1" applyFont="1" applyFill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174" fontId="7" fillId="34" borderId="65" xfId="0" applyNumberFormat="1" applyFont="1" applyFill="1" applyBorder="1" applyAlignment="1">
      <alignment horizontal="center" vertical="center"/>
    </xf>
    <xf numFmtId="174" fontId="7" fillId="0" borderId="63" xfId="0" applyNumberFormat="1" applyFont="1" applyBorder="1" applyAlignment="1">
      <alignment horizontal="center" vertical="center"/>
    </xf>
    <xf numFmtId="174" fontId="7" fillId="0" borderId="66" xfId="0" applyNumberFormat="1" applyFont="1" applyBorder="1" applyAlignment="1">
      <alignment horizontal="center" vertical="center"/>
    </xf>
    <xf numFmtId="1" fontId="29" fillId="35" borderId="62" xfId="0" applyNumberFormat="1" applyFont="1" applyFill="1" applyBorder="1" applyAlignment="1" applyProtection="1">
      <alignment horizontal="center" vertical="center" wrapText="1"/>
      <protection/>
    </xf>
    <xf numFmtId="1" fontId="29" fillId="36" borderId="64" xfId="0" applyNumberFormat="1" applyFont="1" applyFill="1" applyBorder="1" applyAlignment="1" applyProtection="1">
      <alignment horizontal="center" vertical="center" wrapText="1"/>
      <protection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1" fontId="11" fillId="0" borderId="63" xfId="0" applyNumberFormat="1" applyFont="1" applyBorder="1" applyAlignment="1">
      <alignment horizontal="center" vertical="center"/>
    </xf>
    <xf numFmtId="1" fontId="11" fillId="0" borderId="66" xfId="0" applyNumberFormat="1" applyFont="1" applyBorder="1" applyAlignment="1">
      <alignment horizontal="center" vertical="center"/>
    </xf>
    <xf numFmtId="1" fontId="7" fillId="0" borderId="67" xfId="0" applyNumberFormat="1" applyFont="1" applyBorder="1" applyAlignment="1">
      <alignment horizontal="center" vertical="center"/>
    </xf>
    <xf numFmtId="0" fontId="31" fillId="36" borderId="62" xfId="0" applyFont="1" applyFill="1" applyBorder="1" applyAlignment="1">
      <alignment horizontal="left" vertical="center" wrapText="1"/>
    </xf>
    <xf numFmtId="1" fontId="7" fillId="35" borderId="63" xfId="0" applyNumberFormat="1" applyFont="1" applyFill="1" applyBorder="1" applyAlignment="1">
      <alignment horizontal="center" vertical="center"/>
    </xf>
    <xf numFmtId="174" fontId="7" fillId="34" borderId="63" xfId="0" applyNumberFormat="1" applyFont="1" applyFill="1" applyBorder="1" applyAlignment="1">
      <alignment horizontal="center" vertical="center"/>
    </xf>
    <xf numFmtId="1" fontId="29" fillId="35" borderId="63" xfId="0" applyNumberFormat="1" applyFont="1" applyFill="1" applyBorder="1" applyAlignment="1" applyProtection="1">
      <alignment horizontal="center" vertical="center" wrapText="1"/>
      <protection/>
    </xf>
    <xf numFmtId="0" fontId="29" fillId="36" borderId="22" xfId="0" applyFont="1" applyFill="1" applyBorder="1" applyAlignment="1">
      <alignment horizontal="left" vertical="center" wrapText="1"/>
    </xf>
    <xf numFmtId="1" fontId="29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1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2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33" fillId="36" borderId="22" xfId="0" applyFont="1" applyFill="1" applyBorder="1" applyAlignment="1">
      <alignment horizontal="center" wrapText="1"/>
    </xf>
    <xf numFmtId="0" fontId="13" fillId="36" borderId="25" xfId="0" applyFont="1" applyFill="1" applyBorder="1" applyAlignment="1">
      <alignment horizontal="center" wrapText="1"/>
    </xf>
    <xf numFmtId="0" fontId="13" fillId="36" borderId="26" xfId="0" applyFont="1" applyFill="1" applyBorder="1" applyAlignment="1">
      <alignment horizontal="center" wrapText="1"/>
    </xf>
    <xf numFmtId="0" fontId="13" fillId="36" borderId="22" xfId="0" applyFont="1" applyFill="1" applyBorder="1" applyAlignment="1">
      <alignment horizontal="center" wrapText="1"/>
    </xf>
    <xf numFmtId="0" fontId="13" fillId="36" borderId="63" xfId="0" applyFont="1" applyFill="1" applyBorder="1" applyAlignment="1">
      <alignment horizontal="center" wrapText="1"/>
    </xf>
    <xf numFmtId="0" fontId="13" fillId="36" borderId="64" xfId="0" applyFont="1" applyFill="1" applyBorder="1" applyAlignment="1">
      <alignment horizontal="center" wrapText="1"/>
    </xf>
    <xf numFmtId="0" fontId="11" fillId="36" borderId="45" xfId="0" applyFont="1" applyFill="1" applyBorder="1" applyAlignment="1">
      <alignment horizontal="left" wrapText="1"/>
    </xf>
    <xf numFmtId="0" fontId="13" fillId="36" borderId="33" xfId="0" applyFont="1" applyFill="1" applyBorder="1" applyAlignment="1">
      <alignment horizontal="center" wrapText="1"/>
    </xf>
    <xf numFmtId="0" fontId="13" fillId="36" borderId="34" xfId="0" applyFont="1" applyFill="1" applyBorder="1" applyAlignment="1">
      <alignment horizontal="center" wrapText="1"/>
    </xf>
    <xf numFmtId="0" fontId="13" fillId="36" borderId="23" xfId="0" applyFont="1" applyFill="1" applyBorder="1" applyAlignment="1">
      <alignment horizontal="center" wrapText="1"/>
    </xf>
    <xf numFmtId="0" fontId="13" fillId="36" borderId="41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wrapText="1"/>
    </xf>
    <xf numFmtId="0" fontId="10" fillId="36" borderId="43" xfId="0" applyFont="1" applyFill="1" applyBorder="1" applyAlignment="1">
      <alignment horizontal="center" wrapText="1"/>
    </xf>
    <xf numFmtId="0" fontId="10" fillId="36" borderId="51" xfId="0" applyFont="1" applyFill="1" applyBorder="1" applyAlignment="1">
      <alignment horizontal="center" wrapText="1"/>
    </xf>
    <xf numFmtId="0" fontId="11" fillId="36" borderId="32" xfId="0" applyFont="1" applyFill="1" applyBorder="1" applyAlignment="1">
      <alignment wrapText="1"/>
    </xf>
    <xf numFmtId="0" fontId="10" fillId="36" borderId="10" xfId="0" applyFont="1" applyFill="1" applyBorder="1" applyAlignment="1">
      <alignment horizontal="center" wrapText="1"/>
    </xf>
    <xf numFmtId="0" fontId="10" fillId="36" borderId="15" xfId="0" applyFont="1" applyFill="1" applyBorder="1" applyAlignment="1">
      <alignment horizontal="center" wrapText="1"/>
    </xf>
    <xf numFmtId="0" fontId="11" fillId="36" borderId="18" xfId="0" applyFont="1" applyFill="1" applyBorder="1" applyAlignment="1">
      <alignment wrapText="1"/>
    </xf>
    <xf numFmtId="0" fontId="11" fillId="36" borderId="59" xfId="0" applyFont="1" applyFill="1" applyBorder="1" applyAlignment="1">
      <alignment wrapText="1"/>
    </xf>
    <xf numFmtId="0" fontId="13" fillId="36" borderId="61" xfId="0" applyFont="1" applyFill="1" applyBorder="1" applyAlignment="1">
      <alignment horizontal="center" vertical="center" wrapText="1"/>
    </xf>
    <xf numFmtId="0" fontId="13" fillId="36" borderId="58" xfId="0" applyFont="1" applyFill="1" applyBorder="1" applyAlignment="1">
      <alignment horizontal="center" wrapText="1"/>
    </xf>
    <xf numFmtId="0" fontId="10" fillId="36" borderId="28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7" fillId="36" borderId="68" xfId="0" applyFont="1" applyFill="1" applyBorder="1" applyAlignment="1">
      <alignment vertical="center" wrapText="1"/>
    </xf>
    <xf numFmtId="1" fontId="13" fillId="0" borderId="66" xfId="0" applyNumberFormat="1" applyFont="1" applyBorder="1" applyAlignment="1">
      <alignment horizontal="center" vertical="center"/>
    </xf>
    <xf numFmtId="0" fontId="13" fillId="36" borderId="65" xfId="0" applyFont="1" applyFill="1" applyBorder="1" applyAlignment="1">
      <alignment horizontal="center" vertical="center" wrapText="1"/>
    </xf>
    <xf numFmtId="0" fontId="13" fillId="36" borderId="62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vertical="center" wrapText="1"/>
    </xf>
    <xf numFmtId="1" fontId="13" fillId="36" borderId="25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 wrapText="1"/>
    </xf>
    <xf numFmtId="1" fontId="13" fillId="36" borderId="26" xfId="0" applyNumberFormat="1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vertical="center" wrapText="1"/>
    </xf>
    <xf numFmtId="1" fontId="13" fillId="36" borderId="39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 wrapText="1"/>
    </xf>
    <xf numFmtId="1" fontId="13" fillId="36" borderId="6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10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170" fontId="10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7" fillId="0" borderId="56" xfId="0" applyFont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71" fontId="10" fillId="0" borderId="0" xfId="0" applyNumberFormat="1" applyFont="1" applyBorder="1" applyAlignment="1">
      <alignment horizontal="center" wrapText="1"/>
    </xf>
    <xf numFmtId="0" fontId="33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11" fillId="0" borderId="7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" fontId="28" fillId="0" borderId="62" xfId="0" applyNumberFormat="1" applyFont="1" applyFill="1" applyBorder="1" applyAlignment="1">
      <alignment horizontal="center" wrapText="1"/>
    </xf>
    <xf numFmtId="1" fontId="28" fillId="0" borderId="63" xfId="0" applyNumberFormat="1" applyFont="1" applyFill="1" applyBorder="1" applyAlignment="1">
      <alignment horizontal="center" wrapText="1"/>
    </xf>
    <xf numFmtId="1" fontId="28" fillId="0" borderId="64" xfId="0" applyNumberFormat="1" applyFont="1" applyFill="1" applyBorder="1" applyAlignment="1">
      <alignment horizontal="center" wrapText="1"/>
    </xf>
    <xf numFmtId="1" fontId="2" fillId="0" borderId="41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7" fillId="3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74" fontId="7" fillId="34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1" fontId="29" fillId="35" borderId="0" xfId="0" applyNumberFormat="1" applyFont="1" applyFill="1" applyBorder="1" applyAlignment="1" applyProtection="1">
      <alignment horizontal="center" vertical="center" wrapText="1"/>
      <protection/>
    </xf>
    <xf numFmtId="1" fontId="29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29" fillId="36" borderId="0" xfId="0" applyFont="1" applyFill="1" applyBorder="1" applyAlignment="1" applyProtection="1">
      <alignment vertical="center" wrapText="1"/>
      <protection locked="0"/>
    </xf>
    <xf numFmtId="3" fontId="19" fillId="0" borderId="71" xfId="0" applyNumberFormat="1" applyFont="1" applyFill="1" applyBorder="1" applyAlignment="1">
      <alignment horizontal="center"/>
    </xf>
    <xf numFmtId="3" fontId="19" fillId="0" borderId="72" xfId="0" applyNumberFormat="1" applyFont="1" applyFill="1" applyBorder="1" applyAlignment="1">
      <alignment horizontal="center"/>
    </xf>
    <xf numFmtId="3" fontId="19" fillId="0" borderId="73" xfId="0" applyNumberFormat="1" applyFont="1" applyFill="1" applyBorder="1" applyAlignment="1">
      <alignment horizontal="center"/>
    </xf>
    <xf numFmtId="3" fontId="18" fillId="0" borderId="51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18" fillId="0" borderId="2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vertical="center" wrapText="1"/>
    </xf>
    <xf numFmtId="3" fontId="11" fillId="0" borderId="44" xfId="0" applyNumberFormat="1" applyFont="1" applyFill="1" applyBorder="1" applyAlignment="1">
      <alignment horizontal="center" vertical="center" wrapText="1"/>
    </xf>
    <xf numFmtId="3" fontId="18" fillId="0" borderId="51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1" fontId="19" fillId="0" borderId="28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11" fillId="0" borderId="5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7" fillId="0" borderId="30" xfId="0" applyFont="1" applyFill="1" applyBorder="1" applyAlignment="1" applyProtection="1">
      <alignment horizontal="center" vertical="top" wrapText="1"/>
      <protection locked="0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3" fontId="18" fillId="0" borderId="48" xfId="0" applyNumberFormat="1" applyFont="1" applyFill="1" applyBorder="1" applyAlignment="1">
      <alignment horizontal="center"/>
    </xf>
    <xf numFmtId="3" fontId="18" fillId="0" borderId="72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wrapText="1"/>
    </xf>
    <xf numFmtId="1" fontId="3" fillId="0" borderId="33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74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/>
    </xf>
    <xf numFmtId="1" fontId="3" fillId="0" borderId="75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72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2" fillId="0" borderId="61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1" fontId="3" fillId="0" borderId="7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3" fillId="0" borderId="77" xfId="0" applyFont="1" applyFill="1" applyBorder="1" applyAlignment="1">
      <alignment wrapText="1"/>
    </xf>
    <xf numFmtId="1" fontId="2" fillId="0" borderId="22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3" fillId="0" borderId="34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8" fillId="0" borderId="47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 wrapText="1"/>
    </xf>
    <xf numFmtId="1" fontId="3" fillId="0" borderId="33" xfId="0" applyNumberFormat="1" applyFont="1" applyFill="1" applyBorder="1" applyAlignment="1">
      <alignment horizontal="center" wrapText="1"/>
    </xf>
    <xf numFmtId="1" fontId="3" fillId="0" borderId="34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1" fontId="3" fillId="0" borderId="28" xfId="0" applyNumberFormat="1" applyFont="1" applyFill="1" applyBorder="1" applyAlignment="1">
      <alignment horizontal="center" wrapText="1"/>
    </xf>
    <xf numFmtId="1" fontId="3" fillId="0" borderId="36" xfId="0" applyNumberFormat="1" applyFont="1" applyFill="1" applyBorder="1" applyAlignment="1">
      <alignment horizontal="center" wrapText="1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vertical="center" wrapText="1"/>
    </xf>
    <xf numFmtId="1" fontId="10" fillId="0" borderId="43" xfId="0" applyNumberFormat="1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1" fontId="10" fillId="0" borderId="51" xfId="0" applyNumberFormat="1" applyFont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74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1" fontId="13" fillId="0" borderId="14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left" vertical="justify" wrapText="1"/>
    </xf>
    <xf numFmtId="0" fontId="10" fillId="0" borderId="59" xfId="0" applyFont="1" applyFill="1" applyBorder="1" applyAlignment="1">
      <alignment horizontal="left" vertical="center" wrapText="1"/>
    </xf>
    <xf numFmtId="1" fontId="13" fillId="0" borderId="16" xfId="0" applyNumberFormat="1" applyFont="1" applyBorder="1" applyAlignment="1">
      <alignment horizontal="center"/>
    </xf>
    <xf numFmtId="1" fontId="13" fillId="0" borderId="58" xfId="0" applyNumberFormat="1" applyFont="1" applyFill="1" applyBorder="1" applyAlignment="1">
      <alignment horizontal="center"/>
    </xf>
    <xf numFmtId="1" fontId="10" fillId="0" borderId="61" xfId="0" applyNumberFormat="1" applyFont="1" applyFill="1" applyBorder="1" applyAlignment="1">
      <alignment horizontal="center"/>
    </xf>
    <xf numFmtId="1" fontId="10" fillId="0" borderId="75" xfId="0" applyNumberFormat="1" applyFont="1" applyFill="1" applyBorder="1" applyAlignment="1">
      <alignment horizontal="center"/>
    </xf>
    <xf numFmtId="1" fontId="13" fillId="0" borderId="58" xfId="0" applyNumberFormat="1" applyFont="1" applyFill="1" applyBorder="1" applyAlignment="1">
      <alignment horizontal="center" vertical="center" wrapText="1"/>
    </xf>
    <xf numFmtId="1" fontId="10" fillId="0" borderId="55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center" wrapText="1"/>
    </xf>
    <xf numFmtId="1" fontId="13" fillId="0" borderId="22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 wrapText="1"/>
    </xf>
    <xf numFmtId="1" fontId="10" fillId="0" borderId="25" xfId="0" applyNumberFormat="1" applyFont="1" applyFill="1" applyBorder="1" applyAlignment="1">
      <alignment horizontal="center" wrapText="1"/>
    </xf>
    <xf numFmtId="1" fontId="10" fillId="0" borderId="26" xfId="0" applyNumberFormat="1" applyFont="1" applyFill="1" applyBorder="1" applyAlignment="1">
      <alignment horizontal="center" wrapText="1"/>
    </xf>
    <xf numFmtId="1" fontId="13" fillId="0" borderId="33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 horizontal="center"/>
    </xf>
    <xf numFmtId="1" fontId="13" fillId="0" borderId="33" xfId="0" applyNumberFormat="1" applyFont="1" applyFill="1" applyBorder="1" applyAlignment="1">
      <alignment horizontal="center"/>
    </xf>
    <xf numFmtId="1" fontId="13" fillId="0" borderId="29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0" fontId="29" fillId="0" borderId="24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29" fillId="0" borderId="42" xfId="0" applyNumberFormat="1" applyFont="1" applyFill="1" applyBorder="1" applyAlignment="1" applyProtection="1">
      <alignment horizontal="center" vertical="center" wrapText="1"/>
      <protection/>
    </xf>
    <xf numFmtId="1" fontId="31" fillId="0" borderId="43" xfId="0" applyNumberFormat="1" applyFont="1" applyFill="1" applyBorder="1" applyAlignment="1" applyProtection="1">
      <alignment horizontal="center" vertical="center" wrapText="1"/>
      <protection/>
    </xf>
    <xf numFmtId="1" fontId="31" fillId="0" borderId="51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 applyProtection="1">
      <alignment horizontal="center" vertical="center" wrapText="1"/>
      <protection/>
    </xf>
    <xf numFmtId="1" fontId="31" fillId="0" borderId="15" xfId="0" applyNumberFormat="1" applyFont="1" applyFill="1" applyBorder="1" applyAlignment="1" applyProtection="1">
      <alignment horizontal="center" vertical="center" wrapText="1"/>
      <protection/>
    </xf>
    <xf numFmtId="1" fontId="29" fillId="0" borderId="14" xfId="0" applyNumberFormat="1" applyFont="1" applyFill="1" applyBorder="1" applyAlignment="1" applyProtection="1">
      <alignment horizontal="center" wrapText="1"/>
      <protection/>
    </xf>
    <xf numFmtId="1" fontId="29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53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/>
    </xf>
    <xf numFmtId="1" fontId="11" fillId="0" borderId="58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29" fillId="0" borderId="21" xfId="0" applyNumberFormat="1" applyFont="1" applyFill="1" applyBorder="1" applyAlignment="1" applyProtection="1">
      <alignment horizontal="center" vertical="center" wrapText="1"/>
      <protection/>
    </xf>
    <xf numFmtId="1" fontId="31" fillId="0" borderId="28" xfId="0" applyNumberFormat="1" applyFont="1" applyFill="1" applyBorder="1" applyAlignment="1" applyProtection="1">
      <alignment horizontal="center" vertical="center" wrapText="1"/>
      <protection/>
    </xf>
    <xf numFmtId="1" fontId="31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62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1" fontId="29" fillId="0" borderId="62" xfId="0" applyNumberFormat="1" applyFont="1" applyFill="1" applyBorder="1" applyAlignment="1" applyProtection="1">
      <alignment horizontal="center" vertical="center" wrapText="1"/>
      <protection/>
    </xf>
    <xf numFmtId="1" fontId="29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66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29" fillId="0" borderId="22" xfId="0" applyNumberFormat="1" applyFont="1" applyFill="1" applyBorder="1" applyAlignment="1" applyProtection="1">
      <alignment horizontal="center" vertical="center" wrapText="1"/>
      <protection/>
    </xf>
    <xf numFmtId="1" fontId="29" fillId="0" borderId="26" xfId="0" applyNumberFormat="1" applyFont="1" applyFill="1" applyBorder="1" applyAlignment="1" applyProtection="1">
      <alignment horizontal="center" vertical="center" wrapText="1"/>
      <protection/>
    </xf>
    <xf numFmtId="1" fontId="11" fillId="0" borderId="63" xfId="0" applyNumberFormat="1" applyFont="1" applyFill="1" applyBorder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4" fontId="18" fillId="0" borderId="42" xfId="0" applyNumberFormat="1" applyFont="1" applyBorder="1" applyAlignment="1">
      <alignment horizontal="center"/>
    </xf>
    <xf numFmtId="174" fontId="19" fillId="0" borderId="21" xfId="0" applyNumberFormat="1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174" fontId="7" fillId="0" borderId="28" xfId="0" applyNumberFormat="1" applyFont="1" applyFill="1" applyBorder="1" applyAlignment="1">
      <alignment horizontal="center" vertical="center" wrapText="1"/>
    </xf>
    <xf numFmtId="174" fontId="7" fillId="0" borderId="24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74" fontId="11" fillId="0" borderId="33" xfId="0" applyNumberFormat="1" applyFont="1" applyFill="1" applyBorder="1" applyAlignment="1" applyProtection="1">
      <alignment horizontal="center" vertical="center" wrapText="1"/>
      <protection/>
    </xf>
    <xf numFmtId="1" fontId="11" fillId="0" borderId="34" xfId="0" applyNumberFormat="1" applyFont="1" applyFill="1" applyBorder="1" applyAlignment="1" applyProtection="1">
      <alignment horizontal="center" vertical="center" wrapText="1"/>
      <protection/>
    </xf>
    <xf numFmtId="174" fontId="7" fillId="0" borderId="23" xfId="0" applyNumberFormat="1" applyFont="1" applyBorder="1" applyAlignment="1">
      <alignment horizontal="center"/>
    </xf>
    <xf numFmtId="174" fontId="11" fillId="0" borderId="29" xfId="0" applyNumberFormat="1" applyFont="1" applyBorder="1" applyAlignment="1">
      <alignment horizontal="center"/>
    </xf>
    <xf numFmtId="174" fontId="7" fillId="0" borderId="14" xfId="0" applyNumberFormat="1" applyFont="1" applyBorder="1" applyAlignment="1">
      <alignment horizontal="center"/>
    </xf>
    <xf numFmtId="174" fontId="11" fillId="0" borderId="5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" fontId="11" fillId="0" borderId="55" xfId="0" applyNumberFormat="1" applyFont="1" applyFill="1" applyBorder="1" applyAlignment="1" applyProtection="1">
      <alignment horizontal="center" vertical="center" wrapText="1"/>
      <protection/>
    </xf>
    <xf numFmtId="1" fontId="11" fillId="0" borderId="78" xfId="0" applyNumberFormat="1" applyFont="1" applyFill="1" applyBorder="1" applyAlignment="1" applyProtection="1">
      <alignment horizontal="center" vertical="center" wrapText="1"/>
      <protection/>
    </xf>
    <xf numFmtId="174" fontId="7" fillId="0" borderId="16" xfId="0" applyNumberFormat="1" applyFont="1" applyBorder="1" applyAlignment="1">
      <alignment horizontal="center"/>
    </xf>
    <xf numFmtId="174" fontId="11" fillId="0" borderId="17" xfId="0" applyNumberFormat="1" applyFont="1" applyBorder="1" applyAlignment="1">
      <alignment horizontal="center"/>
    </xf>
    <xf numFmtId="174" fontId="11" fillId="0" borderId="27" xfId="0" applyNumberFormat="1" applyFont="1" applyBorder="1" applyAlignment="1">
      <alignment horizontal="center"/>
    </xf>
    <xf numFmtId="1" fontId="7" fillId="0" borderId="63" xfId="0" applyNumberFormat="1" applyFont="1" applyFill="1" applyBorder="1" applyAlignment="1" applyProtection="1">
      <alignment horizontal="center" vertical="center" wrapText="1"/>
      <protection/>
    </xf>
    <xf numFmtId="174" fontId="7" fillId="0" borderId="63" xfId="0" applyNumberFormat="1" applyFont="1" applyFill="1" applyBorder="1" applyAlignment="1" applyProtection="1">
      <alignment horizontal="center" vertical="center" wrapText="1"/>
      <protection/>
    </xf>
    <xf numFmtId="174" fontId="7" fillId="0" borderId="62" xfId="0" applyNumberFormat="1" applyFont="1" applyBorder="1" applyAlignment="1">
      <alignment horizontal="center" vertical="center"/>
    </xf>
    <xf numFmtId="174" fontId="11" fillId="0" borderId="63" xfId="0" applyNumberFormat="1" applyFont="1" applyBorder="1" applyAlignment="1">
      <alignment horizontal="center" vertical="center"/>
    </xf>
    <xf numFmtId="174" fontId="11" fillId="0" borderId="64" xfId="0" applyNumberFormat="1" applyFont="1" applyBorder="1" applyAlignment="1">
      <alignment horizontal="center" vertical="center"/>
    </xf>
    <xf numFmtId="0" fontId="34" fillId="0" borderId="43" xfId="0" applyFont="1" applyBorder="1" applyAlignment="1">
      <alignment/>
    </xf>
    <xf numFmtId="174" fontId="34" fillId="0" borderId="43" xfId="0" applyNumberFormat="1" applyFont="1" applyBorder="1" applyAlignment="1">
      <alignment horizontal="center"/>
    </xf>
    <xf numFmtId="174" fontId="34" fillId="0" borderId="51" xfId="0" applyNumberFormat="1" applyFont="1" applyBorder="1" applyAlignment="1">
      <alignment horizontal="center"/>
    </xf>
    <xf numFmtId="0" fontId="34" fillId="0" borderId="28" xfId="0" applyFont="1" applyBorder="1" applyAlignment="1">
      <alignment/>
    </xf>
    <xf numFmtId="174" fontId="34" fillId="0" borderId="28" xfId="0" applyNumberFormat="1" applyFont="1" applyBorder="1" applyAlignment="1">
      <alignment horizontal="center"/>
    </xf>
    <xf numFmtId="174" fontId="34" fillId="0" borderId="24" xfId="0" applyNumberFormat="1" applyFont="1" applyBorder="1" applyAlignment="1">
      <alignment horizontal="center"/>
    </xf>
    <xf numFmtId="1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34" fillId="0" borderId="44" xfId="0" applyFont="1" applyBorder="1" applyAlignment="1">
      <alignment/>
    </xf>
    <xf numFmtId="0" fontId="34" fillId="0" borderId="36" xfId="0" applyFont="1" applyBorder="1" applyAlignment="1">
      <alignment/>
    </xf>
    <xf numFmtId="0" fontId="11" fillId="0" borderId="60" xfId="0" applyNumberFormat="1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170" fontId="7" fillId="0" borderId="30" xfId="0" applyNumberFormat="1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174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11" fillId="0" borderId="29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174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58" xfId="0" applyNumberFormat="1" applyFont="1" applyFill="1" applyBorder="1" applyAlignment="1" applyProtection="1">
      <alignment horizontal="center" vertical="center" wrapText="1"/>
      <protection/>
    </xf>
    <xf numFmtId="1" fontId="11" fillId="0" borderId="56" xfId="0" applyNumberFormat="1" applyFont="1" applyFill="1" applyBorder="1" applyAlignment="1" applyProtection="1">
      <alignment horizontal="center" vertical="center" wrapText="1"/>
      <protection/>
    </xf>
    <xf numFmtId="174" fontId="7" fillId="0" borderId="62" xfId="0" applyNumberFormat="1" applyFont="1" applyFill="1" applyBorder="1" applyAlignment="1" applyProtection="1">
      <alignment horizontal="center" vertical="center" wrapText="1"/>
      <protection/>
    </xf>
    <xf numFmtId="174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Font="1" applyBorder="1" applyAlignment="1">
      <alignment/>
    </xf>
    <xf numFmtId="0" fontId="34" fillId="0" borderId="51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4" xfId="0" applyFont="1" applyBorder="1" applyAlignment="1">
      <alignment/>
    </xf>
    <xf numFmtId="0" fontId="11" fillId="0" borderId="57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11" fillId="0" borderId="45" xfId="0" applyFont="1" applyBorder="1" applyAlignment="1">
      <alignment horizontal="left"/>
    </xf>
    <xf numFmtId="0" fontId="13" fillId="0" borderId="65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vertical="top" wrapText="1"/>
    </xf>
    <xf numFmtId="1" fontId="13" fillId="0" borderId="14" xfId="0" applyNumberFormat="1" applyFont="1" applyFill="1" applyBorder="1" applyAlignment="1">
      <alignment horizontal="center" wrapText="1"/>
    </xf>
    <xf numFmtId="1" fontId="13" fillId="0" borderId="21" xfId="0" applyNumberFormat="1" applyFont="1" applyFill="1" applyBorder="1" applyAlignment="1">
      <alignment horizontal="center" vertical="top" wrapText="1"/>
    </xf>
    <xf numFmtId="1" fontId="13" fillId="0" borderId="39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Border="1" applyAlignment="1">
      <alignment horizontal="center" vertical="center"/>
    </xf>
    <xf numFmtId="1" fontId="10" fillId="0" borderId="64" xfId="0" applyNumberFormat="1" applyFont="1" applyBorder="1" applyAlignment="1">
      <alignment horizontal="center" vertical="center"/>
    </xf>
    <xf numFmtId="1" fontId="10" fillId="36" borderId="55" xfId="0" applyNumberFormat="1" applyFont="1" applyFill="1" applyBorder="1" applyAlignment="1">
      <alignment horizontal="center" vertical="center" wrapText="1"/>
    </xf>
    <xf numFmtId="1" fontId="10" fillId="36" borderId="5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wrapText="1"/>
    </xf>
    <xf numFmtId="9" fontId="2" fillId="0" borderId="10" xfId="54" applyNumberFormat="1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9" fontId="3" fillId="0" borderId="10" xfId="54" applyNumberFormat="1" applyFont="1" applyFill="1" applyBorder="1" applyAlignment="1">
      <alignment horizontal="center" vertical="center"/>
      <protection/>
    </xf>
    <xf numFmtId="0" fontId="9" fillId="0" borderId="83" xfId="0" applyFont="1" applyFill="1" applyBorder="1" applyAlignment="1">
      <alignment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/>
    </xf>
    <xf numFmtId="166" fontId="19" fillId="0" borderId="69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 horizontal="center"/>
    </xf>
    <xf numFmtId="166" fontId="19" fillId="0" borderId="38" xfId="0" applyNumberFormat="1" applyFont="1" applyFill="1" applyBorder="1" applyAlignment="1">
      <alignment/>
    </xf>
    <xf numFmtId="166" fontId="19" fillId="0" borderId="69" xfId="0" applyNumberFormat="1" applyFont="1" applyFill="1" applyBorder="1" applyAlignment="1">
      <alignment horizontal="center"/>
    </xf>
    <xf numFmtId="166" fontId="19" fillId="0" borderId="69" xfId="0" applyNumberFormat="1" applyFont="1" applyFill="1" applyBorder="1" applyAlignment="1">
      <alignment wrapText="1"/>
    </xf>
    <xf numFmtId="0" fontId="19" fillId="0" borderId="4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0" borderId="84" xfId="0" applyFont="1" applyFill="1" applyBorder="1" applyAlignment="1">
      <alignment horizontal="center"/>
    </xf>
    <xf numFmtId="3" fontId="18" fillId="0" borderId="41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166" fontId="18" fillId="0" borderId="51" xfId="0" applyNumberFormat="1" applyFont="1" applyFill="1" applyBorder="1" applyAlignment="1">
      <alignment/>
    </xf>
    <xf numFmtId="166" fontId="18" fillId="0" borderId="34" xfId="0" applyNumberFormat="1" applyFont="1" applyFill="1" applyBorder="1" applyAlignment="1">
      <alignment/>
    </xf>
    <xf numFmtId="166" fontId="18" fillId="0" borderId="13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/>
    </xf>
    <xf numFmtId="165" fontId="13" fillId="0" borderId="33" xfId="54" applyNumberFormat="1" applyFont="1" applyBorder="1" applyAlignment="1">
      <alignment vertical="top"/>
      <protection/>
    </xf>
    <xf numFmtId="0" fontId="4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left" wrapText="1"/>
    </xf>
    <xf numFmtId="1" fontId="7" fillId="0" borderId="70" xfId="0" applyNumberFormat="1" applyFont="1" applyBorder="1" applyAlignment="1">
      <alignment horizontal="center" wrapText="1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left" wrapText="1"/>
    </xf>
    <xf numFmtId="0" fontId="13" fillId="36" borderId="0" xfId="0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27" fillId="0" borderId="33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" fontId="27" fillId="0" borderId="58" xfId="0" applyNumberFormat="1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1" fontId="10" fillId="0" borderId="77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center"/>
    </xf>
    <xf numFmtId="1" fontId="26" fillId="0" borderId="58" xfId="0" applyNumberFormat="1" applyFont="1" applyBorder="1" applyAlignment="1">
      <alignment horizontal="center" vertical="center" wrapText="1"/>
    </xf>
    <xf numFmtId="1" fontId="26" fillId="0" borderId="37" xfId="0" applyNumberFormat="1" applyFont="1" applyBorder="1" applyAlignment="1">
      <alignment horizontal="center" vertical="center" wrapText="1"/>
    </xf>
    <xf numFmtId="1" fontId="26" fillId="0" borderId="55" xfId="0" applyNumberFormat="1" applyFont="1" applyBorder="1" applyAlignment="1">
      <alignment horizontal="center" vertical="center" wrapText="1"/>
    </xf>
    <xf numFmtId="1" fontId="26" fillId="0" borderId="39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" fontId="13" fillId="0" borderId="37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" fontId="13" fillId="0" borderId="58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1" fontId="26" fillId="0" borderId="56" xfId="0" applyNumberFormat="1" applyFont="1" applyBorder="1" applyAlignment="1">
      <alignment horizontal="center" vertical="center" wrapText="1"/>
    </xf>
    <xf numFmtId="1" fontId="26" fillId="0" borderId="69" xfId="0" applyNumberFormat="1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 applyProtection="1">
      <alignment horizontal="center" vertical="top" wrapText="1"/>
      <protection locked="0"/>
    </xf>
    <xf numFmtId="0" fontId="2" fillId="0" borderId="8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1" fontId="13" fillId="0" borderId="77" xfId="0" applyNumberFormat="1" applyFont="1" applyBorder="1" applyAlignment="1">
      <alignment horizontal="center" vertical="center" wrapText="1"/>
    </xf>
    <xf numFmtId="1" fontId="13" fillId="0" borderId="60" xfId="0" applyNumberFormat="1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1" fontId="13" fillId="0" borderId="88" xfId="0" applyNumberFormat="1" applyFont="1" applyBorder="1" applyAlignment="1">
      <alignment horizontal="center" wrapText="1"/>
    </xf>
    <xf numFmtId="1" fontId="13" fillId="0" borderId="70" xfId="0" applyNumberFormat="1" applyFont="1" applyBorder="1" applyAlignment="1">
      <alignment horizontal="center" wrapText="1"/>
    </xf>
    <xf numFmtId="1" fontId="13" fillId="0" borderId="71" xfId="0" applyNumberFormat="1" applyFont="1" applyBorder="1" applyAlignment="1">
      <alignment horizont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1" fontId="13" fillId="0" borderId="46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wrapText="1"/>
    </xf>
    <xf numFmtId="1" fontId="2" fillId="0" borderId="60" xfId="0" applyNumberFormat="1" applyFont="1" applyBorder="1" applyAlignment="1">
      <alignment horizontal="center" vertical="center" wrapText="1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8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" fontId="2" fillId="0" borderId="77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6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1" fontId="7" fillId="0" borderId="77" xfId="0" applyNumberFormat="1" applyFont="1" applyFill="1" applyBorder="1" applyAlignment="1" applyProtection="1">
      <alignment horizontal="center" vertical="top" wrapText="1"/>
      <protection locked="0"/>
    </xf>
    <xf numFmtId="1" fontId="7" fillId="0" borderId="60" xfId="0" applyNumberFormat="1" applyFont="1" applyFill="1" applyBorder="1" applyAlignment="1" applyProtection="1">
      <alignment horizontal="center" vertical="top" wrapText="1"/>
      <protection locked="0"/>
    </xf>
    <xf numFmtId="1" fontId="7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36" borderId="6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84" xfId="0" applyFont="1" applyFill="1" applyBorder="1" applyAlignment="1">
      <alignment horizontal="center" vertical="center" wrapText="1"/>
    </xf>
    <xf numFmtId="0" fontId="29" fillId="36" borderId="77" xfId="0" applyFont="1" applyFill="1" applyBorder="1" applyAlignment="1" applyProtection="1">
      <alignment horizontal="center" vertical="center" wrapText="1"/>
      <protection locked="0"/>
    </xf>
    <xf numFmtId="0" fontId="29" fillId="36" borderId="60" xfId="0" applyFont="1" applyFill="1" applyBorder="1" applyAlignment="1" applyProtection="1">
      <alignment horizontal="center" vertical="center" wrapText="1"/>
      <protection locked="0"/>
    </xf>
    <xf numFmtId="0" fontId="29" fillId="36" borderId="47" xfId="0" applyFont="1" applyFill="1" applyBorder="1" applyAlignment="1" applyProtection="1">
      <alignment horizontal="center" vertical="center" wrapText="1"/>
      <protection locked="0"/>
    </xf>
    <xf numFmtId="0" fontId="29" fillId="36" borderId="85" xfId="0" applyFont="1" applyFill="1" applyBorder="1" applyAlignment="1">
      <alignment horizontal="center" vertical="center" wrapText="1"/>
    </xf>
    <xf numFmtId="0" fontId="29" fillId="36" borderId="30" xfId="0" applyFont="1" applyFill="1" applyBorder="1" applyAlignment="1">
      <alignment horizontal="center" vertical="center" wrapText="1"/>
    </xf>
    <xf numFmtId="0" fontId="29" fillId="36" borderId="67" xfId="0" applyFont="1" applyFill="1" applyBorder="1" applyAlignment="1">
      <alignment horizontal="center" vertical="center" wrapText="1"/>
    </xf>
    <xf numFmtId="0" fontId="29" fillId="36" borderId="49" xfId="0" applyFont="1" applyFill="1" applyBorder="1" applyAlignment="1">
      <alignment horizontal="center" vertical="center" wrapText="1"/>
    </xf>
    <xf numFmtId="0" fontId="29" fillId="36" borderId="79" xfId="0" applyFont="1" applyFill="1" applyBorder="1" applyAlignment="1">
      <alignment horizontal="center" vertical="center" wrapText="1"/>
    </xf>
    <xf numFmtId="0" fontId="29" fillId="36" borderId="74" xfId="0" applyFont="1" applyFill="1" applyBorder="1" applyAlignment="1">
      <alignment horizontal="center" vertical="center" wrapText="1"/>
    </xf>
    <xf numFmtId="1" fontId="13" fillId="0" borderId="4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9" fillId="36" borderId="0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35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9" fillId="36" borderId="44" xfId="0" applyFont="1" applyFill="1" applyBorder="1" applyAlignment="1">
      <alignment horizontal="center" vertical="center" wrapText="1"/>
    </xf>
    <xf numFmtId="0" fontId="29" fillId="36" borderId="71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4" borderId="62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7" fillId="36" borderId="6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60" xfId="0" applyFont="1" applyFill="1" applyBorder="1" applyAlignment="1" applyProtection="1">
      <alignment horizontal="center" vertical="top" wrapText="1"/>
      <protection locked="0"/>
    </xf>
    <xf numFmtId="0" fontId="2" fillId="0" borderId="77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3" xfId="0" applyFont="1" applyFill="1" applyBorder="1" applyAlignment="1">
      <alignment horizontal="center" vertical="center" wrapText="1"/>
    </xf>
    <xf numFmtId="0" fontId="29" fillId="36" borderId="51" xfId="0" applyFont="1" applyFill="1" applyBorder="1" applyAlignment="1">
      <alignment horizontal="center" vertical="center" wrapText="1"/>
    </xf>
    <xf numFmtId="0" fontId="29" fillId="36" borderId="87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7" fillId="0" borderId="3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0" fontId="36" fillId="0" borderId="30" xfId="0" applyFont="1" applyBorder="1" applyAlignment="1">
      <alignment horizontal="left" wrapText="1"/>
    </xf>
    <xf numFmtId="0" fontId="18" fillId="0" borderId="0" xfId="0" applyFont="1" applyFill="1" applyAlignment="1">
      <alignment horizontal="left" vertical="top" wrapText="1"/>
    </xf>
    <xf numFmtId="1" fontId="7" fillId="0" borderId="77" xfId="0" applyNumberFormat="1" applyFont="1" applyBorder="1" applyAlignment="1">
      <alignment horizontal="center" vertical="center" wrapText="1"/>
    </xf>
    <xf numFmtId="1" fontId="7" fillId="0" borderId="47" xfId="0" applyNumberFormat="1" applyFont="1" applyBorder="1" applyAlignment="1">
      <alignment horizontal="center" vertical="center" wrapText="1"/>
    </xf>
    <xf numFmtId="0" fontId="7" fillId="0" borderId="77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wrapText="1"/>
    </xf>
    <xf numFmtId="0" fontId="8" fillId="0" borderId="70" xfId="0" applyFont="1" applyFill="1" applyBorder="1" applyAlignment="1">
      <alignment horizontal="center" wrapText="1"/>
    </xf>
    <xf numFmtId="0" fontId="8" fillId="0" borderId="7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87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justify"/>
    </xf>
    <xf numFmtId="4" fontId="3" fillId="0" borderId="33" xfId="0" applyNumberFormat="1" applyFont="1" applyFill="1" applyBorder="1" applyAlignment="1">
      <alignment horizontal="center" vertical="justify"/>
    </xf>
    <xf numFmtId="4" fontId="3" fillId="0" borderId="17" xfId="0" applyNumberFormat="1" applyFont="1" applyFill="1" applyBorder="1" applyAlignment="1">
      <alignment horizontal="center" vertical="justify" wrapText="1"/>
    </xf>
    <xf numFmtId="4" fontId="3" fillId="0" borderId="33" xfId="0" applyNumberFormat="1" applyFont="1" applyFill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3" fillId="0" borderId="33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 wrapText="1"/>
    </xf>
    <xf numFmtId="0" fontId="3" fillId="0" borderId="33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4" fontId="2" fillId="0" borderId="79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 vertical="justify"/>
    </xf>
    <xf numFmtId="0" fontId="11" fillId="0" borderId="63" xfId="0" applyFont="1" applyFill="1" applyBorder="1" applyAlignment="1">
      <alignment horizontal="center" vertical="justify"/>
    </xf>
    <xf numFmtId="0" fontId="11" fillId="0" borderId="39" xfId="0" applyFont="1" applyFill="1" applyBorder="1" applyAlignment="1">
      <alignment horizontal="center" vertical="justify"/>
    </xf>
    <xf numFmtId="0" fontId="33" fillId="0" borderId="0" xfId="0" applyFont="1" applyFill="1" applyBorder="1" applyAlignment="1">
      <alignment horizontal="center" vertical="justify"/>
    </xf>
    <xf numFmtId="0" fontId="11" fillId="0" borderId="62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44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justify"/>
    </xf>
    <xf numFmtId="0" fontId="11" fillId="0" borderId="64" xfId="0" applyFont="1" applyFill="1" applyBorder="1" applyAlignment="1">
      <alignment horizontal="center" vertical="justify"/>
    </xf>
    <xf numFmtId="0" fontId="11" fillId="0" borderId="69" xfId="0" applyFont="1" applyFill="1" applyBorder="1" applyAlignment="1">
      <alignment horizontal="center" vertical="justify"/>
    </xf>
    <xf numFmtId="0" fontId="4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62" xfId="54" applyNumberFormat="1" applyFont="1" applyBorder="1" applyAlignment="1">
      <alignment horizontal="center" vertical="center" wrapText="1"/>
      <protection/>
    </xf>
    <xf numFmtId="0" fontId="13" fillId="0" borderId="58" xfId="54" applyNumberFormat="1" applyFont="1" applyBorder="1" applyAlignment="1">
      <alignment horizontal="center" vertical="center" wrapText="1"/>
      <protection/>
    </xf>
    <xf numFmtId="0" fontId="11" fillId="0" borderId="43" xfId="54" applyFont="1" applyBorder="1" applyAlignment="1">
      <alignment horizontal="center" vertical="center"/>
      <protection/>
    </xf>
    <xf numFmtId="0" fontId="11" fillId="0" borderId="51" xfId="54" applyFont="1" applyBorder="1" applyAlignment="1">
      <alignment horizontal="center" vertical="center"/>
      <protection/>
    </xf>
    <xf numFmtId="0" fontId="2" fillId="0" borderId="66" xfId="54" applyNumberFormat="1" applyFont="1" applyBorder="1" applyAlignment="1">
      <alignment horizontal="center" vertical="center" wrapText="1"/>
      <protection/>
    </xf>
    <xf numFmtId="0" fontId="2" fillId="0" borderId="78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top" wrapText="1"/>
      <protection/>
    </xf>
    <xf numFmtId="0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8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0" applyFont="1" applyFill="1" applyAlignment="1">
      <alignment horizontal="left" vertical="justify" wrapText="1"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>
      <alignment horizontal="center" vertical="center" wrapText="1"/>
      <protection/>
    </xf>
    <xf numFmtId="0" fontId="2" fillId="0" borderId="55" xfId="54" applyNumberFormat="1" applyFont="1" applyFill="1" applyBorder="1" applyAlignment="1">
      <alignment horizontal="center" vertical="center" wrapText="1"/>
      <protection/>
    </xf>
    <xf numFmtId="0" fontId="2" fillId="0" borderId="33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left"/>
      <protection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55" xfId="54" applyNumberFormat="1" applyFont="1" applyFill="1" applyBorder="1" applyAlignment="1">
      <alignment horizontal="left" vertical="center" wrapText="1"/>
      <protection/>
    </xf>
    <xf numFmtId="49" fontId="3" fillId="0" borderId="33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_Расчет объемов с приложениями к Протоколу комиссии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6;&#1073;&#1098;&#1077;&#1084;&#1072;%20&#1086;&#1082;&#1072;&#1079;&#1072;&#1085;&#1080;&#1103;%20&#1084;&#1077;&#1076;.&#1087;&#1086;&#1084;&#1086;&#1097;&#1080;%20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орая"/>
      <sheetName val="посещения"/>
      <sheetName val="обращения"/>
      <sheetName val="случаи"/>
      <sheetName val="койко-дни"/>
      <sheetName val="днев.стационар"/>
    </sheetNames>
    <sheetDataSet>
      <sheetData sheetId="3">
        <row r="9">
          <cell r="AZ9">
            <v>30</v>
          </cell>
          <cell r="BC9">
            <v>420</v>
          </cell>
          <cell r="BF9">
            <v>450</v>
          </cell>
          <cell r="BG9">
            <v>0</v>
          </cell>
        </row>
        <row r="10">
          <cell r="BC10">
            <v>70</v>
          </cell>
          <cell r="BF10">
            <v>70</v>
          </cell>
          <cell r="BG10">
            <v>0</v>
          </cell>
        </row>
        <row r="11">
          <cell r="BC11">
            <v>30</v>
          </cell>
          <cell r="BF11">
            <v>30</v>
          </cell>
          <cell r="BG11">
            <v>0</v>
          </cell>
        </row>
        <row r="12">
          <cell r="AZ12">
            <v>6</v>
          </cell>
          <cell r="BC12">
            <v>50</v>
          </cell>
          <cell r="BF12">
            <v>56</v>
          </cell>
          <cell r="BG12">
            <v>0</v>
          </cell>
        </row>
        <row r="13">
          <cell r="BA13">
            <v>6</v>
          </cell>
          <cell r="BD13">
            <v>300</v>
          </cell>
          <cell r="BF13">
            <v>0</v>
          </cell>
          <cell r="BG13">
            <v>306</v>
          </cell>
        </row>
        <row r="14">
          <cell r="AZ14">
            <v>14</v>
          </cell>
          <cell r="BC14">
            <v>450</v>
          </cell>
          <cell r="BF14">
            <v>464</v>
          </cell>
          <cell r="BG14">
            <v>0</v>
          </cell>
        </row>
        <row r="15">
          <cell r="BD15">
            <v>80</v>
          </cell>
          <cell r="BF15">
            <v>0</v>
          </cell>
          <cell r="BG15">
            <v>80</v>
          </cell>
        </row>
        <row r="16">
          <cell r="AZ16">
            <v>8</v>
          </cell>
          <cell r="BC16">
            <v>300</v>
          </cell>
          <cell r="BD16">
            <v>0</v>
          </cell>
          <cell r="BF16">
            <v>308</v>
          </cell>
          <cell r="BG16">
            <v>0</v>
          </cell>
        </row>
        <row r="17">
          <cell r="AZ17">
            <v>8</v>
          </cell>
          <cell r="BC17">
            <v>120</v>
          </cell>
          <cell r="BF17">
            <v>128</v>
          </cell>
          <cell r="BG17">
            <v>0</v>
          </cell>
        </row>
        <row r="18">
          <cell r="AZ18">
            <v>10</v>
          </cell>
          <cell r="BC18">
            <v>150</v>
          </cell>
          <cell r="BD18">
            <v>20</v>
          </cell>
          <cell r="BF18">
            <v>160</v>
          </cell>
          <cell r="BG18">
            <v>20</v>
          </cell>
        </row>
        <row r="19">
          <cell r="AZ19">
            <v>6</v>
          </cell>
          <cell r="BC19">
            <v>80</v>
          </cell>
          <cell r="BD19">
            <v>40</v>
          </cell>
          <cell r="BF19">
            <v>86</v>
          </cell>
          <cell r="BG19">
            <v>40</v>
          </cell>
        </row>
        <row r="20">
          <cell r="AZ20">
            <v>6</v>
          </cell>
          <cell r="BC20">
            <v>57</v>
          </cell>
          <cell r="BF20">
            <v>63</v>
          </cell>
          <cell r="BG20">
            <v>0</v>
          </cell>
        </row>
        <row r="21">
          <cell r="AZ21">
            <v>60</v>
          </cell>
          <cell r="BC21">
            <v>480</v>
          </cell>
          <cell r="BD21">
            <v>20</v>
          </cell>
          <cell r="BF21">
            <v>540</v>
          </cell>
          <cell r="BG21">
            <v>20</v>
          </cell>
        </row>
        <row r="22">
          <cell r="AZ22">
            <v>8</v>
          </cell>
          <cell r="BC22">
            <v>120</v>
          </cell>
          <cell r="BD22">
            <v>80</v>
          </cell>
          <cell r="BF22">
            <v>128</v>
          </cell>
          <cell r="BG22">
            <v>80</v>
          </cell>
        </row>
        <row r="23">
          <cell r="BC23">
            <v>67</v>
          </cell>
          <cell r="BD23">
            <v>15</v>
          </cell>
          <cell r="BF23">
            <v>67</v>
          </cell>
          <cell r="BG23">
            <v>15</v>
          </cell>
        </row>
        <row r="24">
          <cell r="AZ24">
            <v>35</v>
          </cell>
          <cell r="BC24">
            <v>440</v>
          </cell>
          <cell r="BD24">
            <v>60</v>
          </cell>
          <cell r="BF24">
            <v>475</v>
          </cell>
          <cell r="BG24">
            <v>60</v>
          </cell>
        </row>
        <row r="25">
          <cell r="BC25">
            <v>42</v>
          </cell>
          <cell r="BD25">
            <v>5</v>
          </cell>
          <cell r="BF25">
            <v>42</v>
          </cell>
          <cell r="BG25">
            <v>5</v>
          </cell>
        </row>
        <row r="26">
          <cell r="AZ26">
            <v>35</v>
          </cell>
          <cell r="BC26">
            <v>250</v>
          </cell>
          <cell r="BD26">
            <v>1369</v>
          </cell>
          <cell r="BF26">
            <v>285</v>
          </cell>
          <cell r="BG26">
            <v>1369</v>
          </cell>
        </row>
        <row r="27">
          <cell r="BC27">
            <v>600</v>
          </cell>
          <cell r="BF27">
            <v>600</v>
          </cell>
          <cell r="BG27">
            <v>0</v>
          </cell>
        </row>
        <row r="28">
          <cell r="BC28">
            <v>500</v>
          </cell>
          <cell r="BF28">
            <v>500</v>
          </cell>
          <cell r="BG28">
            <v>0</v>
          </cell>
        </row>
        <row r="29">
          <cell r="AZ29">
            <v>28</v>
          </cell>
          <cell r="BC29">
            <v>400</v>
          </cell>
          <cell r="BD29">
            <v>200</v>
          </cell>
          <cell r="BF29">
            <v>428</v>
          </cell>
          <cell r="BG29">
            <v>200</v>
          </cell>
        </row>
      </sheetData>
      <sheetData sheetId="4">
        <row r="9">
          <cell r="AL9">
            <v>10.8</v>
          </cell>
        </row>
        <row r="10">
          <cell r="AL10">
            <v>10.8</v>
          </cell>
        </row>
        <row r="11">
          <cell r="AL11">
            <v>11.6</v>
          </cell>
        </row>
        <row r="12">
          <cell r="AL12">
            <v>10.1</v>
          </cell>
        </row>
        <row r="13">
          <cell r="AL13">
            <v>8.6</v>
          </cell>
        </row>
        <row r="14">
          <cell r="AL14">
            <v>10.1</v>
          </cell>
        </row>
        <row r="15">
          <cell r="AL15">
            <v>12.1</v>
          </cell>
        </row>
        <row r="16">
          <cell r="AL16">
            <v>11</v>
          </cell>
        </row>
        <row r="17">
          <cell r="AL17">
            <v>8.9</v>
          </cell>
        </row>
        <row r="18">
          <cell r="AL18">
            <v>10.7</v>
          </cell>
        </row>
        <row r="19">
          <cell r="AL19">
            <v>7.7</v>
          </cell>
        </row>
        <row r="20">
          <cell r="AL20">
            <v>10.8</v>
          </cell>
        </row>
        <row r="21">
          <cell r="AL21">
            <v>6.3</v>
          </cell>
        </row>
        <row r="22">
          <cell r="AL22">
            <v>7.6</v>
          </cell>
        </row>
        <row r="23">
          <cell r="AL23">
            <v>6.8</v>
          </cell>
        </row>
        <row r="24">
          <cell r="AL24">
            <v>12.1</v>
          </cell>
        </row>
        <row r="25">
          <cell r="AL25">
            <v>12.3</v>
          </cell>
        </row>
        <row r="26">
          <cell r="AL26">
            <v>7.1</v>
          </cell>
        </row>
        <row r="27">
          <cell r="AL27">
            <v>5.6</v>
          </cell>
        </row>
        <row r="28">
          <cell r="AL28">
            <v>7.7</v>
          </cell>
        </row>
        <row r="29">
          <cell r="AL29">
            <v>8.9</v>
          </cell>
        </row>
        <row r="30">
          <cell r="AL30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2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3.421875" style="9" customWidth="1"/>
    <col min="2" max="2" width="31.7109375" style="9" customWidth="1"/>
    <col min="3" max="3" width="10.421875" style="179" customWidth="1"/>
    <col min="4" max="4" width="11.8515625" style="9" customWidth="1"/>
    <col min="5" max="6" width="0" style="9" hidden="1" customWidth="1"/>
    <col min="7" max="7" width="12.57421875" style="9" customWidth="1"/>
    <col min="8" max="8" width="11.140625" style="9" customWidth="1"/>
    <col min="9" max="9" width="11.8515625" style="9" customWidth="1"/>
    <col min="10" max="10" width="9.8515625" style="9" customWidth="1"/>
    <col min="11" max="11" width="10.140625" style="9" customWidth="1"/>
    <col min="12" max="12" width="12.28125" style="179" customWidth="1"/>
    <col min="13" max="14" width="11.00390625" style="9" customWidth="1"/>
    <col min="15" max="16384" width="9.140625" style="9" customWidth="1"/>
  </cols>
  <sheetData>
    <row r="1" spans="9:14" ht="65.25" customHeight="1">
      <c r="I1" s="57"/>
      <c r="J1" s="57"/>
      <c r="K1" s="964" t="s">
        <v>112</v>
      </c>
      <c r="L1" s="964"/>
      <c r="M1" s="964"/>
      <c r="N1" s="964"/>
    </row>
    <row r="2" spans="9:13" ht="12.75">
      <c r="I2" s="57"/>
      <c r="J2" s="57"/>
      <c r="K2" s="57"/>
      <c r="L2" s="184"/>
      <c r="M2" s="57"/>
    </row>
    <row r="3" spans="9:13" ht="12.75">
      <c r="I3" s="57"/>
      <c r="J3" s="57"/>
      <c r="K3" s="57"/>
      <c r="L3" s="184"/>
      <c r="M3" s="57"/>
    </row>
    <row r="4" spans="2:14" ht="12.75" customHeight="1">
      <c r="B4" s="965" t="s">
        <v>115</v>
      </c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</row>
    <row r="5" spans="2:13" ht="13.5" thickBot="1">
      <c r="B5" s="11"/>
      <c r="C5" s="180"/>
      <c r="D5" s="11"/>
      <c r="E5" s="11"/>
      <c r="F5" s="11"/>
      <c r="G5" s="11"/>
      <c r="H5" s="11"/>
      <c r="I5" s="11"/>
      <c r="J5" s="11"/>
      <c r="K5" s="11"/>
      <c r="L5" s="180"/>
      <c r="M5" s="11"/>
    </row>
    <row r="6" spans="2:14" ht="89.25" customHeight="1">
      <c r="B6" s="966" t="s">
        <v>243</v>
      </c>
      <c r="C6" s="968" t="s">
        <v>242</v>
      </c>
      <c r="D6" s="968"/>
      <c r="E6" s="968" t="s">
        <v>244</v>
      </c>
      <c r="F6" s="968"/>
      <c r="G6" s="968"/>
      <c r="H6" s="968"/>
      <c r="I6" s="968"/>
      <c r="J6" s="968" t="s">
        <v>245</v>
      </c>
      <c r="K6" s="968"/>
      <c r="L6" s="968"/>
      <c r="M6" s="969" t="s">
        <v>246</v>
      </c>
      <c r="N6" s="970"/>
    </row>
    <row r="7" spans="2:14" ht="26.25" customHeight="1">
      <c r="B7" s="967"/>
      <c r="C7" s="973" t="s">
        <v>247</v>
      </c>
      <c r="D7" s="971" t="s">
        <v>248</v>
      </c>
      <c r="E7" s="971" t="s">
        <v>249</v>
      </c>
      <c r="F7" s="979" t="s">
        <v>250</v>
      </c>
      <c r="G7" s="980"/>
      <c r="H7" s="980"/>
      <c r="I7" s="981"/>
      <c r="J7" s="971" t="s">
        <v>251</v>
      </c>
      <c r="K7" s="971" t="s">
        <v>281</v>
      </c>
      <c r="L7" s="973" t="s">
        <v>312</v>
      </c>
      <c r="M7" s="975" t="s">
        <v>83</v>
      </c>
      <c r="N7" s="977" t="s">
        <v>116</v>
      </c>
    </row>
    <row r="8" spans="2:14" ht="79.5" thickBot="1">
      <c r="B8" s="967"/>
      <c r="C8" s="974"/>
      <c r="D8" s="972"/>
      <c r="E8" s="972"/>
      <c r="F8" s="674" t="s">
        <v>252</v>
      </c>
      <c r="G8" s="674" t="s">
        <v>87</v>
      </c>
      <c r="H8" s="674" t="s">
        <v>253</v>
      </c>
      <c r="I8" s="674" t="s">
        <v>254</v>
      </c>
      <c r="J8" s="972"/>
      <c r="K8" s="972"/>
      <c r="L8" s="974"/>
      <c r="M8" s="976"/>
      <c r="N8" s="978"/>
    </row>
    <row r="9" spans="2:14" ht="42" customHeight="1">
      <c r="B9" s="675" t="s">
        <v>82</v>
      </c>
      <c r="C9" s="676">
        <v>12919</v>
      </c>
      <c r="D9" s="677">
        <v>12919</v>
      </c>
      <c r="E9" s="678">
        <f>SUM(F9:I9)-G9</f>
        <v>276546</v>
      </c>
      <c r="F9" s="678">
        <v>152586</v>
      </c>
      <c r="G9" s="678">
        <v>84825</v>
      </c>
      <c r="H9" s="678">
        <v>99573</v>
      </c>
      <c r="I9" s="678">
        <v>24387</v>
      </c>
      <c r="J9" s="679">
        <v>60180</v>
      </c>
      <c r="K9" s="678">
        <v>0</v>
      </c>
      <c r="L9" s="676">
        <v>7075</v>
      </c>
      <c r="M9" s="680">
        <v>2586</v>
      </c>
      <c r="N9" s="681">
        <f>22240-1</f>
        <v>22239</v>
      </c>
    </row>
    <row r="10" spans="2:14" ht="42" customHeight="1">
      <c r="B10" s="86" t="s">
        <v>310</v>
      </c>
      <c r="C10" s="181">
        <f aca="true" t="shared" si="0" ref="C10:N10">SUM(C9:C9)</f>
        <v>12919</v>
      </c>
      <c r="D10" s="87">
        <f t="shared" si="0"/>
        <v>12919</v>
      </c>
      <c r="E10" s="87">
        <f t="shared" si="0"/>
        <v>276546</v>
      </c>
      <c r="F10" s="87">
        <f>SUM(F9:F9)</f>
        <v>152586</v>
      </c>
      <c r="G10" s="87">
        <f t="shared" si="0"/>
        <v>84825</v>
      </c>
      <c r="H10" s="87">
        <f t="shared" si="0"/>
        <v>99573</v>
      </c>
      <c r="I10" s="87">
        <f t="shared" si="0"/>
        <v>24387</v>
      </c>
      <c r="J10" s="88">
        <f t="shared" si="0"/>
        <v>60180</v>
      </c>
      <c r="K10" s="87">
        <f t="shared" si="0"/>
        <v>0</v>
      </c>
      <c r="L10" s="181">
        <f t="shared" si="0"/>
        <v>7075</v>
      </c>
      <c r="M10" s="87">
        <f t="shared" si="0"/>
        <v>2586</v>
      </c>
      <c r="N10" s="682">
        <f t="shared" si="0"/>
        <v>22239</v>
      </c>
    </row>
    <row r="11" spans="2:14" ht="31.5">
      <c r="B11" s="683" t="s">
        <v>282</v>
      </c>
      <c r="C11" s="182">
        <v>145</v>
      </c>
      <c r="D11" s="89">
        <v>145</v>
      </c>
      <c r="E11" s="85">
        <f>SUM(F11:I11)-G11</f>
        <v>5565</v>
      </c>
      <c r="F11" s="89">
        <v>2800</v>
      </c>
      <c r="G11" s="89">
        <v>1400</v>
      </c>
      <c r="H11" s="89">
        <v>2765</v>
      </c>
      <c r="I11" s="89"/>
      <c r="J11" s="90">
        <v>3581</v>
      </c>
      <c r="K11" s="89"/>
      <c r="L11" s="182">
        <v>421</v>
      </c>
      <c r="M11" s="89">
        <v>27</v>
      </c>
      <c r="N11" s="684">
        <v>232</v>
      </c>
    </row>
    <row r="12" spans="2:14" ht="27.75" customHeight="1" thickBot="1">
      <c r="B12" s="685" t="s">
        <v>311</v>
      </c>
      <c r="C12" s="686">
        <f>C10+C11</f>
        <v>13064</v>
      </c>
      <c r="D12" s="687">
        <f aca="true" t="shared" si="1" ref="D12:N12">D10+D11</f>
        <v>13064</v>
      </c>
      <c r="E12" s="687">
        <f t="shared" si="1"/>
        <v>282111</v>
      </c>
      <c r="F12" s="687">
        <f t="shared" si="1"/>
        <v>155386</v>
      </c>
      <c r="G12" s="687">
        <f t="shared" si="1"/>
        <v>86225</v>
      </c>
      <c r="H12" s="687">
        <f t="shared" si="1"/>
        <v>102338</v>
      </c>
      <c r="I12" s="687">
        <f t="shared" si="1"/>
        <v>24387</v>
      </c>
      <c r="J12" s="688">
        <f t="shared" si="1"/>
        <v>63761</v>
      </c>
      <c r="K12" s="687">
        <f t="shared" si="1"/>
        <v>0</v>
      </c>
      <c r="L12" s="686">
        <f t="shared" si="1"/>
        <v>7496</v>
      </c>
      <c r="M12" s="687">
        <f>M10+M11</f>
        <v>2613</v>
      </c>
      <c r="N12" s="689">
        <f t="shared" si="1"/>
        <v>22471</v>
      </c>
    </row>
    <row r="13" spans="2:14" ht="31.5" customHeight="1">
      <c r="B13" s="91" t="s">
        <v>88</v>
      </c>
      <c r="C13" s="283">
        <f>C12/43548</f>
        <v>0.299990814733168</v>
      </c>
      <c r="D13" s="82"/>
      <c r="E13" s="82"/>
      <c r="F13" s="83"/>
      <c r="G13" s="84">
        <f>G12/43548</f>
        <v>1.9799990814733168</v>
      </c>
      <c r="H13" s="84">
        <f>H12/43548</f>
        <v>2.350004592633416</v>
      </c>
      <c r="I13" s="84">
        <f>I12/43548</f>
        <v>0.5600027555800496</v>
      </c>
      <c r="J13" s="82"/>
      <c r="K13" s="82"/>
      <c r="L13" s="284">
        <f>L12/43548+0.00001</f>
        <v>0.17214190043170755</v>
      </c>
      <c r="M13" s="84">
        <f>M12/43548</f>
        <v>0.0600027555800496</v>
      </c>
      <c r="N13" s="82"/>
    </row>
    <row r="14" spans="2:14" ht="30" customHeight="1">
      <c r="B14" s="964" t="s">
        <v>181</v>
      </c>
      <c r="C14" s="964"/>
      <c r="D14" s="57"/>
      <c r="E14" s="82"/>
      <c r="F14" s="83"/>
      <c r="G14" s="10">
        <v>43548</v>
      </c>
      <c r="H14" s="84"/>
      <c r="I14" s="84"/>
      <c r="J14" s="82"/>
      <c r="K14" s="82"/>
      <c r="L14" s="183"/>
      <c r="M14" s="84"/>
      <c r="N14" s="82"/>
    </row>
    <row r="15" ht="59.25" customHeight="1"/>
    <row r="20" ht="12.75">
      <c r="I20" s="58"/>
    </row>
  </sheetData>
  <sheetProtection/>
  <mergeCells count="17">
    <mergeCell ref="B14:C14"/>
    <mergeCell ref="L7:L8"/>
    <mergeCell ref="M7:M8"/>
    <mergeCell ref="N7:N8"/>
    <mergeCell ref="D7:D8"/>
    <mergeCell ref="E7:E8"/>
    <mergeCell ref="F7:I7"/>
    <mergeCell ref="K1:N1"/>
    <mergeCell ref="B4:N4"/>
    <mergeCell ref="B6:B8"/>
    <mergeCell ref="C6:D6"/>
    <mergeCell ref="E6:I6"/>
    <mergeCell ref="J6:L6"/>
    <mergeCell ref="M6:N6"/>
    <mergeCell ref="J7:J8"/>
    <mergeCell ref="K7:K8"/>
    <mergeCell ref="C7:C8"/>
  </mergeCells>
  <printOptions/>
  <pageMargins left="0.43" right="0.2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R57"/>
  <sheetViews>
    <sheetView view="pageBreakPreview" zoomScale="73" zoomScaleNormal="75" zoomScaleSheetLayoutView="73" zoomScalePageLayoutView="0" workbookViewId="0" topLeftCell="A46">
      <selection activeCell="C26" sqref="C26"/>
    </sheetView>
  </sheetViews>
  <sheetFormatPr defaultColWidth="9.140625" defaultRowHeight="15"/>
  <cols>
    <col min="1" max="1" width="3.140625" style="20" customWidth="1"/>
    <col min="2" max="2" width="47.421875" style="20" customWidth="1"/>
    <col min="3" max="3" width="16.57421875" style="61" customWidth="1"/>
    <col min="4" max="4" width="17.421875" style="61" customWidth="1"/>
    <col min="5" max="5" width="18.28125" style="61" customWidth="1"/>
    <col min="6" max="6" width="19.00390625" style="61" customWidth="1"/>
    <col min="7" max="7" width="19.7109375" style="61" customWidth="1"/>
    <col min="8" max="8" width="17.421875" style="20" customWidth="1"/>
    <col min="9" max="9" width="16.28125" style="20" customWidth="1"/>
    <col min="10" max="10" width="21.57421875" style="20" customWidth="1"/>
    <col min="11" max="11" width="25.00390625" style="20" customWidth="1"/>
    <col min="12" max="12" width="18.7109375" style="20" customWidth="1"/>
    <col min="13" max="13" width="15.00390625" style="20" customWidth="1"/>
    <col min="14" max="14" width="16.8515625" style="20" customWidth="1"/>
    <col min="15" max="17" width="13.00390625" style="20" bestFit="1" customWidth="1"/>
    <col min="18" max="18" width="14.28125" style="20" bestFit="1" customWidth="1"/>
    <col min="19" max="16384" width="9.140625" style="20" customWidth="1"/>
  </cols>
  <sheetData>
    <row r="1" spans="4:7" ht="15.75" customHeight="1">
      <c r="D1" s="207"/>
      <c r="E1" s="159" t="s">
        <v>108</v>
      </c>
      <c r="F1" s="159"/>
      <c r="G1" s="159"/>
    </row>
    <row r="2" spans="4:7" ht="45" customHeight="1">
      <c r="D2" s="207"/>
      <c r="E2" s="1226" t="s">
        <v>109</v>
      </c>
      <c r="F2" s="1226"/>
      <c r="G2" s="1226"/>
    </row>
    <row r="3" spans="4:7" ht="21" customHeight="1">
      <c r="D3" s="207"/>
      <c r="E3" s="207"/>
      <c r="F3" s="207"/>
      <c r="G3" s="207"/>
    </row>
    <row r="4" spans="2:7" ht="18.75">
      <c r="B4" s="1257" t="s">
        <v>229</v>
      </c>
      <c r="C4" s="1257"/>
      <c r="D4" s="1257"/>
      <c r="E4" s="1257"/>
      <c r="F4" s="1257"/>
      <c r="G4" s="1257"/>
    </row>
    <row r="5" ht="15.75" thickBot="1"/>
    <row r="6" spans="2:7" ht="19.5" customHeight="1">
      <c r="B6" s="1241" t="s">
        <v>243</v>
      </c>
      <c r="C6" s="1254" t="s">
        <v>250</v>
      </c>
      <c r="D6" s="1255"/>
      <c r="E6" s="1255"/>
      <c r="F6" s="1256"/>
      <c r="G6" s="1262" t="s">
        <v>125</v>
      </c>
    </row>
    <row r="7" spans="2:10" ht="19.5" customHeight="1" thickBot="1">
      <c r="B7" s="1242"/>
      <c r="C7" s="114" t="s">
        <v>272</v>
      </c>
      <c r="D7" s="114" t="s">
        <v>273</v>
      </c>
      <c r="E7" s="114" t="s">
        <v>274</v>
      </c>
      <c r="F7" s="114" t="s">
        <v>275</v>
      </c>
      <c r="G7" s="1263"/>
      <c r="J7" s="21"/>
    </row>
    <row r="8" spans="2:18" ht="19.5" customHeight="1">
      <c r="B8" s="107" t="s">
        <v>242</v>
      </c>
      <c r="C8" s="216">
        <f aca="true" t="shared" si="0" ref="C8:F11">C35+C49+C23</f>
        <v>6813705.95</v>
      </c>
      <c r="D8" s="216">
        <f t="shared" si="0"/>
        <v>6813705.95</v>
      </c>
      <c r="E8" s="216">
        <f t="shared" si="0"/>
        <v>6813705.95</v>
      </c>
      <c r="F8" s="216">
        <f t="shared" si="0"/>
        <v>6813705.95</v>
      </c>
      <c r="G8" s="115">
        <f aca="true" t="shared" si="1" ref="G8:G13">SUM(C8:F8)</f>
        <v>27254823.8</v>
      </c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19.5" customHeight="1">
      <c r="B9" s="102" t="s">
        <v>276</v>
      </c>
      <c r="C9" s="217">
        <f t="shared" si="0"/>
        <v>40155966.410000004</v>
      </c>
      <c r="D9" s="217">
        <f t="shared" si="0"/>
        <v>40155966.419999994</v>
      </c>
      <c r="E9" s="217">
        <f t="shared" si="0"/>
        <v>40155966.44</v>
      </c>
      <c r="F9" s="217">
        <f t="shared" si="0"/>
        <v>40155966.45</v>
      </c>
      <c r="G9" s="108">
        <f t="shared" si="1"/>
        <v>160623865.72</v>
      </c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2:18" ht="30">
      <c r="B10" s="103" t="s">
        <v>257</v>
      </c>
      <c r="C10" s="217">
        <f t="shared" si="0"/>
        <v>10954480.68</v>
      </c>
      <c r="D10" s="217">
        <f t="shared" si="0"/>
        <v>10954480.68</v>
      </c>
      <c r="E10" s="217">
        <f t="shared" si="0"/>
        <v>10954480.7</v>
      </c>
      <c r="F10" s="217">
        <f t="shared" si="0"/>
        <v>10954480.709999999</v>
      </c>
      <c r="G10" s="108">
        <f t="shared" si="1"/>
        <v>43817922.769999996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30">
      <c r="B11" s="103" t="s">
        <v>256</v>
      </c>
      <c r="C11" s="217">
        <f t="shared" si="0"/>
        <v>3341750.61</v>
      </c>
      <c r="D11" s="217">
        <f t="shared" si="0"/>
        <v>3341750.61</v>
      </c>
      <c r="E11" s="217">
        <f t="shared" si="0"/>
        <v>3341750.61</v>
      </c>
      <c r="F11" s="217">
        <f t="shared" si="0"/>
        <v>3341750.61</v>
      </c>
      <c r="G11" s="108">
        <f t="shared" si="1"/>
        <v>13367002.44</v>
      </c>
      <c r="L11" s="21"/>
      <c r="M11" s="21"/>
      <c r="N11" s="21"/>
      <c r="O11" s="21"/>
      <c r="P11" s="21"/>
      <c r="Q11" s="21"/>
      <c r="R11" s="21"/>
    </row>
    <row r="12" spans="2:18" ht="30">
      <c r="B12" s="103" t="s">
        <v>279</v>
      </c>
      <c r="C12" s="217">
        <f>C39+C27+C53</f>
        <v>25859735.12</v>
      </c>
      <c r="D12" s="217">
        <f>D39+D27+D53</f>
        <v>25859735.13</v>
      </c>
      <c r="E12" s="217">
        <f>E39+E27+E53</f>
        <v>25859735.13</v>
      </c>
      <c r="F12" s="217">
        <f>F39+F27+F53</f>
        <v>25859735.13</v>
      </c>
      <c r="G12" s="108">
        <f>SUM(C12:F12)</f>
        <v>103438940.50999999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18" ht="19.5" customHeight="1">
      <c r="B13" s="102" t="s">
        <v>277</v>
      </c>
      <c r="C13" s="217">
        <f aca="true" t="shared" si="2" ref="C13:F15">C40+C54+C28</f>
        <v>51038992.54</v>
      </c>
      <c r="D13" s="217">
        <f t="shared" si="2"/>
        <v>51038992.54</v>
      </c>
      <c r="E13" s="217">
        <f t="shared" si="2"/>
        <v>51038992.54</v>
      </c>
      <c r="F13" s="217">
        <f t="shared" si="2"/>
        <v>51038992.54000001</v>
      </c>
      <c r="G13" s="108">
        <f t="shared" si="1"/>
        <v>204155970.16000003</v>
      </c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2:18" ht="19.5" customHeight="1" hidden="1">
      <c r="B14" s="102" t="s">
        <v>283</v>
      </c>
      <c r="C14" s="217">
        <f t="shared" si="2"/>
        <v>0</v>
      </c>
      <c r="D14" s="217">
        <f t="shared" si="2"/>
        <v>0</v>
      </c>
      <c r="E14" s="217">
        <f t="shared" si="2"/>
        <v>0</v>
      </c>
      <c r="F14" s="217">
        <f t="shared" si="2"/>
        <v>0</v>
      </c>
      <c r="G14" s="108">
        <f>G41+G55+G29</f>
        <v>0</v>
      </c>
      <c r="H14" s="23"/>
      <c r="L14" s="21"/>
      <c r="M14" s="21"/>
      <c r="N14" s="21"/>
      <c r="O14" s="21"/>
      <c r="P14" s="21"/>
      <c r="Q14" s="21"/>
      <c r="R14" s="21"/>
    </row>
    <row r="15" spans="2:18" ht="19.5" customHeight="1" thickBot="1">
      <c r="B15" s="104" t="s">
        <v>278</v>
      </c>
      <c r="C15" s="218">
        <f t="shared" si="2"/>
        <v>8912495.01</v>
      </c>
      <c r="D15" s="218">
        <f t="shared" si="2"/>
        <v>8912495.03</v>
      </c>
      <c r="E15" s="218">
        <f t="shared" si="2"/>
        <v>8912495.03</v>
      </c>
      <c r="F15" s="218">
        <f t="shared" si="2"/>
        <v>8912495.04</v>
      </c>
      <c r="G15" s="109">
        <f>G42+G56+G30</f>
        <v>35649980.10999999</v>
      </c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18" ht="28.5" customHeight="1" thickBot="1">
      <c r="B16" s="105" t="s">
        <v>104</v>
      </c>
      <c r="C16" s="110">
        <f>C8+C12+C10+C11+C13+C15</f>
        <v>106921159.91000001</v>
      </c>
      <c r="D16" s="110">
        <f>D8+D12+D10+D11+D13+D15</f>
        <v>106921159.94</v>
      </c>
      <c r="E16" s="110">
        <f>E8+E12+E10+E11+E13+E15</f>
        <v>106921159.96000001</v>
      </c>
      <c r="F16" s="110">
        <f>F8+F12+F10+F11+F13+F15</f>
        <v>106921159.97999999</v>
      </c>
      <c r="G16" s="111">
        <f>G8+G12+G10+G11+G13+G15</f>
        <v>427684639.79</v>
      </c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ht="15">
      <c r="H17" s="23"/>
    </row>
    <row r="18" spans="2:9" ht="15">
      <c r="B18" s="1258" t="s">
        <v>227</v>
      </c>
      <c r="C18" s="1258"/>
      <c r="D18" s="1258"/>
      <c r="E18" s="1258"/>
      <c r="F18" s="1258"/>
      <c r="G18" s="1258"/>
      <c r="H18" s="54"/>
      <c r="I18" s="22"/>
    </row>
    <row r="19" spans="2:8" ht="21" customHeight="1" thickBot="1">
      <c r="B19" s="1247"/>
      <c r="C19" s="1247"/>
      <c r="D19" s="1247"/>
      <c r="E19" s="1247"/>
      <c r="F19" s="1247"/>
      <c r="G19" s="1247"/>
      <c r="H19" s="23"/>
    </row>
    <row r="20" spans="2:8" ht="30.75" customHeight="1">
      <c r="B20" s="1244" t="s">
        <v>179</v>
      </c>
      <c r="C20" s="1245"/>
      <c r="D20" s="1245"/>
      <c r="E20" s="1245"/>
      <c r="F20" s="1245"/>
      <c r="G20" s="1246"/>
      <c r="H20" s="23"/>
    </row>
    <row r="21" spans="2:8" ht="19.5" customHeight="1">
      <c r="B21" s="1243" t="s">
        <v>243</v>
      </c>
      <c r="C21" s="1248" t="s">
        <v>250</v>
      </c>
      <c r="D21" s="1249"/>
      <c r="E21" s="1249"/>
      <c r="F21" s="1250"/>
      <c r="G21" s="1251" t="s">
        <v>125</v>
      </c>
      <c r="H21" s="23"/>
    </row>
    <row r="22" spans="2:8" ht="19.5" customHeight="1" thickBot="1">
      <c r="B22" s="1242"/>
      <c r="C22" s="114" t="s">
        <v>272</v>
      </c>
      <c r="D22" s="114" t="s">
        <v>273</v>
      </c>
      <c r="E22" s="114" t="s">
        <v>274</v>
      </c>
      <c r="F22" s="114" t="s">
        <v>275</v>
      </c>
      <c r="G22" s="1252"/>
      <c r="H22" s="23"/>
    </row>
    <row r="23" spans="2:8" ht="19.5" customHeight="1">
      <c r="B23" s="107" t="s">
        <v>242</v>
      </c>
      <c r="C23" s="216">
        <v>75673.5</v>
      </c>
      <c r="D23" s="216">
        <v>75673.5</v>
      </c>
      <c r="E23" s="216">
        <v>75673.5</v>
      </c>
      <c r="F23" s="216">
        <v>75673.5</v>
      </c>
      <c r="G23" s="115">
        <f>SUM(C23:F23)</f>
        <v>302694</v>
      </c>
      <c r="H23" s="23"/>
    </row>
    <row r="24" spans="2:8" ht="19.5" customHeight="1">
      <c r="B24" s="102" t="s">
        <v>276</v>
      </c>
      <c r="C24" s="217">
        <f>SUM(C25:C27)</f>
        <v>715846.51</v>
      </c>
      <c r="D24" s="217">
        <f>SUM(D25:D27)</f>
        <v>715846.51</v>
      </c>
      <c r="E24" s="217">
        <f>SUM(E25:E27)</f>
        <v>715846.51</v>
      </c>
      <c r="F24" s="217">
        <f>SUM(F25:F27)</f>
        <v>715846.52</v>
      </c>
      <c r="G24" s="108">
        <f aca="true" t="shared" si="3" ref="G24:G30">SUM(C24:F24)</f>
        <v>2863386.0500000003</v>
      </c>
      <c r="H24" s="23"/>
    </row>
    <row r="25" spans="2:7" ht="30">
      <c r="B25" s="103" t="s">
        <v>257</v>
      </c>
      <c r="C25" s="217">
        <v>295972.51</v>
      </c>
      <c r="D25" s="217">
        <v>295972.51</v>
      </c>
      <c r="E25" s="217">
        <v>295972.51</v>
      </c>
      <c r="F25" s="217">
        <v>295972.52</v>
      </c>
      <c r="G25" s="108">
        <f t="shared" si="3"/>
        <v>1183890.05</v>
      </c>
    </row>
    <row r="26" spans="2:7" ht="30">
      <c r="B26" s="103" t="s">
        <v>256</v>
      </c>
      <c r="C26" s="217"/>
      <c r="D26" s="217"/>
      <c r="E26" s="217"/>
      <c r="F26" s="217"/>
      <c r="G26" s="108">
        <f t="shared" si="3"/>
        <v>0</v>
      </c>
    </row>
    <row r="27" spans="2:8" ht="30">
      <c r="B27" s="103" t="s">
        <v>279</v>
      </c>
      <c r="C27" s="217">
        <v>419874</v>
      </c>
      <c r="D27" s="217">
        <v>419874</v>
      </c>
      <c r="E27" s="217">
        <v>419874</v>
      </c>
      <c r="F27" s="217">
        <v>419874</v>
      </c>
      <c r="G27" s="108">
        <f>SUM(C27:F27)</f>
        <v>1679496</v>
      </c>
      <c r="H27" s="23"/>
    </row>
    <row r="28" spans="2:7" ht="19.5" customHeight="1">
      <c r="B28" s="102" t="s">
        <v>277</v>
      </c>
      <c r="C28" s="217">
        <v>2866383.76</v>
      </c>
      <c r="D28" s="217">
        <v>2866383.76</v>
      </c>
      <c r="E28" s="217">
        <v>2866383.76</v>
      </c>
      <c r="F28" s="217">
        <v>2866383.77</v>
      </c>
      <c r="G28" s="108">
        <f>SUM(C28:F28)</f>
        <v>11465535.049999999</v>
      </c>
    </row>
    <row r="29" spans="2:7" ht="19.5" customHeight="1" hidden="1">
      <c r="B29" s="102" t="s">
        <v>283</v>
      </c>
      <c r="C29" s="217"/>
      <c r="D29" s="217"/>
      <c r="E29" s="217"/>
      <c r="F29" s="217"/>
      <c r="G29" s="108">
        <f t="shared" si="3"/>
        <v>0</v>
      </c>
    </row>
    <row r="30" spans="2:7" ht="19.5" customHeight="1" thickBot="1">
      <c r="B30" s="106" t="s">
        <v>278</v>
      </c>
      <c r="C30" s="219">
        <v>92095.85</v>
      </c>
      <c r="D30" s="219">
        <v>92095.85</v>
      </c>
      <c r="E30" s="219">
        <v>92095.85</v>
      </c>
      <c r="F30" s="219">
        <v>92095.86</v>
      </c>
      <c r="G30" s="112">
        <f t="shared" si="3"/>
        <v>368383.41000000003</v>
      </c>
    </row>
    <row r="31" spans="2:7" ht="31.5" customHeight="1" thickBot="1">
      <c r="B31" s="105" t="s">
        <v>125</v>
      </c>
      <c r="C31" s="110">
        <f>C23+C24+C27+C28+C30</f>
        <v>4169873.6199999996</v>
      </c>
      <c r="D31" s="110">
        <f>D23+D24+D27+D28+D30</f>
        <v>4169873.6199999996</v>
      </c>
      <c r="E31" s="110">
        <f>E23+E24+E27+E28+E30</f>
        <v>4169873.6199999996</v>
      </c>
      <c r="F31" s="110">
        <f>F23+F24+F27+F28+F30</f>
        <v>4169873.65</v>
      </c>
      <c r="G31" s="111">
        <f>G23+G25+G27+G28+G30</f>
        <v>14999998.509999998</v>
      </c>
    </row>
    <row r="32" spans="2:8" ht="31.5" customHeight="1">
      <c r="B32" s="1259" t="s">
        <v>228</v>
      </c>
      <c r="C32" s="1260"/>
      <c r="D32" s="1260"/>
      <c r="E32" s="1260"/>
      <c r="F32" s="1260"/>
      <c r="G32" s="1261"/>
      <c r="H32" s="23"/>
    </row>
    <row r="33" spans="2:8" ht="19.5" customHeight="1">
      <c r="B33" s="1243" t="s">
        <v>243</v>
      </c>
      <c r="C33" s="1248" t="s">
        <v>250</v>
      </c>
      <c r="D33" s="1249"/>
      <c r="E33" s="1249"/>
      <c r="F33" s="1250"/>
      <c r="G33" s="1251" t="s">
        <v>125</v>
      </c>
      <c r="H33" s="23"/>
    </row>
    <row r="34" spans="2:8" ht="19.5" customHeight="1" thickBot="1">
      <c r="B34" s="1242"/>
      <c r="C34" s="114" t="s">
        <v>272</v>
      </c>
      <c r="D34" s="114" t="s">
        <v>273</v>
      </c>
      <c r="E34" s="114" t="s">
        <v>274</v>
      </c>
      <c r="F34" s="114" t="s">
        <v>275</v>
      </c>
      <c r="G34" s="1252"/>
      <c r="H34" s="23"/>
    </row>
    <row r="35" spans="2:8" ht="19.5" customHeight="1">
      <c r="B35" s="107" t="s">
        <v>242</v>
      </c>
      <c r="C35" s="216">
        <v>218532.45</v>
      </c>
      <c r="D35" s="216">
        <v>218532.45</v>
      </c>
      <c r="E35" s="216">
        <v>218532.45</v>
      </c>
      <c r="F35" s="216">
        <v>218532.45</v>
      </c>
      <c r="G35" s="115">
        <f>SUM(C35:F35)</f>
        <v>874129.8</v>
      </c>
      <c r="H35" s="23"/>
    </row>
    <row r="36" spans="2:8" ht="19.5" customHeight="1">
      <c r="B36" s="102" t="s">
        <v>276</v>
      </c>
      <c r="C36" s="217">
        <f>C39+C37+C38</f>
        <v>717658.78</v>
      </c>
      <c r="D36" s="217">
        <f>D39+D37+D38</f>
        <v>717658.78</v>
      </c>
      <c r="E36" s="217">
        <f>E39+E37+E38</f>
        <v>717658.79</v>
      </c>
      <c r="F36" s="217">
        <f>F39+F37+F38</f>
        <v>717658.79</v>
      </c>
      <c r="G36" s="108">
        <f aca="true" t="shared" si="4" ref="G36:G42">SUM(C36:F36)</f>
        <v>2870635.14</v>
      </c>
      <c r="H36" s="23"/>
    </row>
    <row r="37" spans="2:8" ht="30">
      <c r="B37" s="103" t="s">
        <v>257</v>
      </c>
      <c r="C37" s="217">
        <v>254034.58</v>
      </c>
      <c r="D37" s="217">
        <v>254034.58</v>
      </c>
      <c r="E37" s="217">
        <v>254034.59</v>
      </c>
      <c r="F37" s="217">
        <v>254034.59</v>
      </c>
      <c r="G37" s="108">
        <f t="shared" si="4"/>
        <v>1016138.34</v>
      </c>
      <c r="H37" s="23"/>
    </row>
    <row r="38" spans="2:8" ht="30">
      <c r="B38" s="103" t="s">
        <v>256</v>
      </c>
      <c r="C38" s="217">
        <v>53030.61</v>
      </c>
      <c r="D38" s="217">
        <v>53030.61</v>
      </c>
      <c r="E38" s="217">
        <v>53030.61</v>
      </c>
      <c r="F38" s="217">
        <v>53030.61</v>
      </c>
      <c r="G38" s="108">
        <f t="shared" si="4"/>
        <v>212122.44</v>
      </c>
      <c r="H38" s="23"/>
    </row>
    <row r="39" spans="2:8" ht="30">
      <c r="B39" s="103" t="s">
        <v>279</v>
      </c>
      <c r="C39" s="217">
        <v>410593.59</v>
      </c>
      <c r="D39" s="217">
        <v>410593.59</v>
      </c>
      <c r="E39" s="217">
        <v>410593.59</v>
      </c>
      <c r="F39" s="217">
        <v>410593.59</v>
      </c>
      <c r="G39" s="108">
        <f>SUM(C39:F39)</f>
        <v>1642374.36</v>
      </c>
      <c r="H39" s="23"/>
    </row>
    <row r="40" spans="2:8" ht="19.5" customHeight="1">
      <c r="B40" s="102" t="s">
        <v>277</v>
      </c>
      <c r="C40" s="217">
        <v>1770267.82</v>
      </c>
      <c r="D40" s="217">
        <v>1770267.82</v>
      </c>
      <c r="E40" s="217">
        <v>1770267.82</v>
      </c>
      <c r="F40" s="217">
        <v>1770267.81</v>
      </c>
      <c r="G40" s="108">
        <f t="shared" si="4"/>
        <v>7081071.27</v>
      </c>
      <c r="H40" s="23"/>
    </row>
    <row r="41" spans="2:8" ht="19.5" customHeight="1" hidden="1">
      <c r="B41" s="102" t="s">
        <v>283</v>
      </c>
      <c r="C41" s="217"/>
      <c r="D41" s="217"/>
      <c r="E41" s="217"/>
      <c r="F41" s="217"/>
      <c r="G41" s="108">
        <f t="shared" si="4"/>
        <v>0</v>
      </c>
      <c r="H41" s="23"/>
    </row>
    <row r="42" spans="2:8" ht="19.5" customHeight="1" thickBot="1">
      <c r="B42" s="106" t="s">
        <v>278</v>
      </c>
      <c r="C42" s="219">
        <v>293540.88</v>
      </c>
      <c r="D42" s="219">
        <v>293540.89</v>
      </c>
      <c r="E42" s="219">
        <v>293540.89</v>
      </c>
      <c r="F42" s="219">
        <v>293540.89</v>
      </c>
      <c r="G42" s="112">
        <f t="shared" si="4"/>
        <v>1174163.55</v>
      </c>
      <c r="H42" s="23"/>
    </row>
    <row r="43" spans="2:8" ht="31.5" customHeight="1" thickBot="1">
      <c r="B43" s="105" t="s">
        <v>125</v>
      </c>
      <c r="C43" s="110">
        <f>C35+C39+C37+C38+C40+C42</f>
        <v>2999999.9299999997</v>
      </c>
      <c r="D43" s="110">
        <f>D35+D39+D37+D38+D40+D42</f>
        <v>2999999.94</v>
      </c>
      <c r="E43" s="110">
        <f>E35+E39+E37+E38+E40+E42</f>
        <v>2999999.95</v>
      </c>
      <c r="F43" s="110">
        <f>F35+F39+F37+F38+F40+F42</f>
        <v>2999999.94</v>
      </c>
      <c r="G43" s="111">
        <f>G35+G36+G40+G42</f>
        <v>11999999.760000002</v>
      </c>
      <c r="H43" s="23"/>
    </row>
    <row r="44" spans="2:8" ht="15">
      <c r="B44" s="23"/>
      <c r="C44" s="113"/>
      <c r="D44" s="113"/>
      <c r="E44" s="113"/>
      <c r="F44" s="113"/>
      <c r="G44" s="113"/>
      <c r="H44" s="23"/>
    </row>
    <row r="45" spans="2:7" ht="15" customHeight="1">
      <c r="B45" s="1247" t="s">
        <v>321</v>
      </c>
      <c r="C45" s="1247"/>
      <c r="D45" s="1247"/>
      <c r="E45" s="1247"/>
      <c r="F45" s="1247"/>
      <c r="G45" s="1247"/>
    </row>
    <row r="46" spans="2:7" ht="15.75" thickBot="1">
      <c r="B46" s="1247"/>
      <c r="C46" s="1247"/>
      <c r="D46" s="1247"/>
      <c r="E46" s="1247"/>
      <c r="F46" s="1247"/>
      <c r="G46" s="1247"/>
    </row>
    <row r="47" spans="2:7" ht="19.5" customHeight="1">
      <c r="B47" s="1241" t="s">
        <v>243</v>
      </c>
      <c r="C47" s="1254" t="s">
        <v>250</v>
      </c>
      <c r="D47" s="1255"/>
      <c r="E47" s="1255"/>
      <c r="F47" s="1256"/>
      <c r="G47" s="1253" t="s">
        <v>125</v>
      </c>
    </row>
    <row r="48" spans="2:10" ht="19.5" customHeight="1" thickBot="1">
      <c r="B48" s="1242"/>
      <c r="C48" s="114" t="s">
        <v>272</v>
      </c>
      <c r="D48" s="114" t="s">
        <v>273</v>
      </c>
      <c r="E48" s="114" t="s">
        <v>274</v>
      </c>
      <c r="F48" s="114" t="s">
        <v>275</v>
      </c>
      <c r="G48" s="1252"/>
      <c r="J48" s="21"/>
    </row>
    <row r="49" spans="2:18" ht="19.5" customHeight="1">
      <c r="B49" s="107" t="s">
        <v>242</v>
      </c>
      <c r="C49" s="216">
        <v>6519500</v>
      </c>
      <c r="D49" s="216">
        <v>6519500</v>
      </c>
      <c r="E49" s="216">
        <v>6519500</v>
      </c>
      <c r="F49" s="216">
        <v>6519500</v>
      </c>
      <c r="G49" s="115">
        <f aca="true" t="shared" si="5" ref="G49:G57">C49+D49+E49+F49</f>
        <v>26078000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18" ht="19.5" customHeight="1">
      <c r="B50" s="102" t="s">
        <v>276</v>
      </c>
      <c r="C50" s="217">
        <f>C53+C51+C52</f>
        <v>38722461.120000005</v>
      </c>
      <c r="D50" s="217">
        <f>D53+D51+D52</f>
        <v>38722461.129999995</v>
      </c>
      <c r="E50" s="217">
        <f>E53+E51+E52</f>
        <v>38722461.14</v>
      </c>
      <c r="F50" s="217">
        <f>F53+F51+F52</f>
        <v>38722461.14</v>
      </c>
      <c r="G50" s="108">
        <f t="shared" si="5"/>
        <v>154889844.53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2:18" ht="30">
      <c r="B51" s="103" t="s">
        <v>257</v>
      </c>
      <c r="C51" s="217">
        <v>10404473.59</v>
      </c>
      <c r="D51" s="217">
        <v>10404473.59</v>
      </c>
      <c r="E51" s="217">
        <v>10404473.6</v>
      </c>
      <c r="F51" s="217">
        <v>10404473.6</v>
      </c>
      <c r="G51" s="108">
        <f t="shared" si="5"/>
        <v>41617894.38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2:18" ht="30">
      <c r="B52" s="103" t="s">
        <v>256</v>
      </c>
      <c r="C52" s="217">
        <v>3288720</v>
      </c>
      <c r="D52" s="217">
        <v>3288720</v>
      </c>
      <c r="E52" s="217">
        <v>3288720</v>
      </c>
      <c r="F52" s="217">
        <v>3288720</v>
      </c>
      <c r="G52" s="108">
        <f t="shared" si="5"/>
        <v>13154880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2:18" ht="30">
      <c r="B53" s="103" t="s">
        <v>279</v>
      </c>
      <c r="C53" s="217">
        <v>25029267.53</v>
      </c>
      <c r="D53" s="217">
        <v>25029267.54</v>
      </c>
      <c r="E53" s="217">
        <v>25029267.54</v>
      </c>
      <c r="F53" s="217">
        <v>25029267.54</v>
      </c>
      <c r="G53" s="108">
        <f>C53+D53+E53+F53</f>
        <v>100117070.15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2:18" ht="19.5" customHeight="1">
      <c r="B54" s="102" t="s">
        <v>277</v>
      </c>
      <c r="C54" s="217">
        <v>46402340.96</v>
      </c>
      <c r="D54" s="217">
        <v>46402340.96</v>
      </c>
      <c r="E54" s="217">
        <v>46402340.96</v>
      </c>
      <c r="F54" s="217">
        <v>46402340.96</v>
      </c>
      <c r="G54" s="108">
        <f t="shared" si="5"/>
        <v>185609363.84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ht="19.5" customHeight="1" hidden="1">
      <c r="B55" s="102" t="s">
        <v>283</v>
      </c>
      <c r="C55" s="217"/>
      <c r="D55" s="217"/>
      <c r="E55" s="217"/>
      <c r="F55" s="217"/>
      <c r="G55" s="108">
        <f t="shared" si="5"/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ht="19.5" customHeight="1" thickBot="1">
      <c r="B56" s="106" t="s">
        <v>278</v>
      </c>
      <c r="C56" s="219">
        <v>8526858.28</v>
      </c>
      <c r="D56" s="219">
        <v>8526858.29</v>
      </c>
      <c r="E56" s="219">
        <v>8526858.29</v>
      </c>
      <c r="F56" s="219">
        <v>8526858.29</v>
      </c>
      <c r="G56" s="112">
        <f t="shared" si="5"/>
        <v>34107433.15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7" ht="36" customHeight="1" thickBot="1">
      <c r="B57" s="105" t="s">
        <v>125</v>
      </c>
      <c r="C57" s="110">
        <f>C49+C53+C51+C52+C54+C55+C56</f>
        <v>100171160.36000001</v>
      </c>
      <c r="D57" s="110">
        <f>D49+D53+D51+D52+D54+D55+D56</f>
        <v>100171160.38</v>
      </c>
      <c r="E57" s="110">
        <f>E49+E53+E51+E52+E54+E55+E56</f>
        <v>100171160.38999999</v>
      </c>
      <c r="F57" s="110">
        <f>F49+F53+F51+F52+F54+F55+F56</f>
        <v>100171160.38999999</v>
      </c>
      <c r="G57" s="111">
        <f t="shared" si="5"/>
        <v>400684641.52</v>
      </c>
    </row>
  </sheetData>
  <sheetProtection/>
  <mergeCells count="18">
    <mergeCell ref="E2:G2"/>
    <mergeCell ref="G47:G48"/>
    <mergeCell ref="C47:F47"/>
    <mergeCell ref="C21:F21"/>
    <mergeCell ref="G21:G22"/>
    <mergeCell ref="B4:G4"/>
    <mergeCell ref="B18:G19"/>
    <mergeCell ref="B32:G32"/>
    <mergeCell ref="C6:F6"/>
    <mergeCell ref="G6:G7"/>
    <mergeCell ref="B6:B7"/>
    <mergeCell ref="B33:B34"/>
    <mergeCell ref="B21:B22"/>
    <mergeCell ref="B47:B48"/>
    <mergeCell ref="B20:G20"/>
    <mergeCell ref="B45:G46"/>
    <mergeCell ref="C33:F33"/>
    <mergeCell ref="G33:G34"/>
  </mergeCells>
  <printOptions/>
  <pageMargins left="0.7086614173228347" right="0.16" top="0.34" bottom="0.28" header="0.31496062992125984" footer="0.31496062992125984"/>
  <pageSetup fitToHeight="5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2:Q57"/>
  <sheetViews>
    <sheetView view="pageBreakPreview" zoomScale="70" zoomScaleNormal="80" zoomScaleSheetLayoutView="70" zoomScalePageLayoutView="0" workbookViewId="0" topLeftCell="D1">
      <selection activeCell="G42" sqref="G42"/>
    </sheetView>
  </sheetViews>
  <sheetFormatPr defaultColWidth="9.140625" defaultRowHeight="15"/>
  <cols>
    <col min="1" max="1" width="5.28125" style="1" customWidth="1"/>
    <col min="2" max="2" width="21.7109375" style="1" customWidth="1"/>
    <col min="3" max="3" width="15.7109375" style="1" customWidth="1"/>
    <col min="4" max="4" width="16.28125" style="1" customWidth="1"/>
    <col min="5" max="6" width="15.421875" style="1" customWidth="1"/>
    <col min="7" max="7" width="17.00390625" style="1" customWidth="1"/>
    <col min="8" max="8" width="16.7109375" style="1" customWidth="1"/>
    <col min="9" max="9" width="15.7109375" style="1" customWidth="1"/>
    <col min="10" max="10" width="16.28125" style="1" customWidth="1"/>
    <col min="11" max="11" width="7.00390625" style="1" hidden="1" customWidth="1"/>
    <col min="12" max="12" width="15.28125" style="1" customWidth="1"/>
    <col min="13" max="13" width="0.13671875" style="1" hidden="1" customWidth="1"/>
    <col min="14" max="14" width="15.8515625" style="1" customWidth="1"/>
    <col min="15" max="15" width="17.00390625" style="1" customWidth="1"/>
    <col min="16" max="16" width="21.57421875" style="1" customWidth="1"/>
    <col min="17" max="17" width="15.57421875" style="1" customWidth="1"/>
    <col min="18" max="16384" width="9.140625" style="1" customWidth="1"/>
  </cols>
  <sheetData>
    <row r="2" spans="8:15" ht="60" customHeight="1">
      <c r="H2" s="185"/>
      <c r="L2" s="1275" t="s">
        <v>110</v>
      </c>
      <c r="M2" s="1275"/>
      <c r="N2" s="1275"/>
      <c r="O2" s="1275"/>
    </row>
    <row r="5" spans="2:15" ht="18.75">
      <c r="B5" s="1278" t="s">
        <v>96</v>
      </c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1278"/>
      <c r="N5" s="1278"/>
      <c r="O5" s="1278"/>
    </row>
    <row r="6" spans="2:15" ht="12.7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2:15" ht="12.7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2:15" ht="25.5" customHeight="1" thickBot="1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2:15" s="100" customFormat="1" ht="33.75" customHeight="1">
      <c r="B9" s="1279"/>
      <c r="C9" s="1276" t="s">
        <v>258</v>
      </c>
      <c r="D9" s="1281" t="s">
        <v>259</v>
      </c>
      <c r="E9" s="1282"/>
      <c r="F9" s="1282"/>
      <c r="G9" s="1283"/>
      <c r="H9" s="1276" t="s">
        <v>119</v>
      </c>
      <c r="I9" s="1276" t="s">
        <v>283</v>
      </c>
      <c r="J9" s="1276" t="s">
        <v>261</v>
      </c>
      <c r="K9" s="186" t="s">
        <v>262</v>
      </c>
      <c r="L9" s="1276" t="s">
        <v>263</v>
      </c>
      <c r="M9" s="187" t="s">
        <v>264</v>
      </c>
      <c r="N9" s="1276" t="s">
        <v>265</v>
      </c>
      <c r="O9" s="1285" t="s">
        <v>120</v>
      </c>
    </row>
    <row r="10" spans="2:15" s="100" customFormat="1" ht="84" customHeight="1" thickBot="1">
      <c r="B10" s="1280"/>
      <c r="C10" s="1277"/>
      <c r="D10" s="188" t="s">
        <v>266</v>
      </c>
      <c r="E10" s="188" t="s">
        <v>268</v>
      </c>
      <c r="F10" s="188" t="s">
        <v>269</v>
      </c>
      <c r="G10" s="189" t="s">
        <v>267</v>
      </c>
      <c r="H10" s="1277"/>
      <c r="I10" s="1277"/>
      <c r="J10" s="1277"/>
      <c r="K10" s="189"/>
      <c r="L10" s="1277"/>
      <c r="M10" s="188"/>
      <c r="N10" s="1277"/>
      <c r="O10" s="1286"/>
    </row>
    <row r="11" spans="2:15" s="194" customFormat="1" ht="33" customHeight="1" hidden="1" thickBot="1">
      <c r="B11" s="195" t="s">
        <v>124</v>
      </c>
      <c r="C11" s="196" t="s">
        <v>247</v>
      </c>
      <c r="D11" s="196"/>
      <c r="E11" s="196" t="s">
        <v>323</v>
      </c>
      <c r="F11" s="196"/>
      <c r="G11" s="197" t="s">
        <v>121</v>
      </c>
      <c r="H11" s="198" t="s">
        <v>122</v>
      </c>
      <c r="I11" s="196" t="s">
        <v>123</v>
      </c>
      <c r="J11" s="196" t="s">
        <v>83</v>
      </c>
      <c r="K11" s="197"/>
      <c r="L11" s="196"/>
      <c r="M11" s="196"/>
      <c r="N11" s="196"/>
      <c r="O11" s="199"/>
    </row>
    <row r="12" spans="2:16" s="194" customFormat="1" ht="63" customHeight="1" thickBot="1">
      <c r="B12" s="200" t="s">
        <v>318</v>
      </c>
      <c r="C12" s="201">
        <f>'приложение 4'!G8</f>
        <v>27254823.8</v>
      </c>
      <c r="D12" s="202">
        <f>G12+E12+F12</f>
        <v>160623865.71999997</v>
      </c>
      <c r="E12" s="203">
        <f>'приложение 4'!G10</f>
        <v>43817922.769999996</v>
      </c>
      <c r="F12" s="203">
        <f>'приложение 4'!G11</f>
        <v>13367002.44</v>
      </c>
      <c r="G12" s="203">
        <f>'приложение 4'!G12</f>
        <v>103438940.50999999</v>
      </c>
      <c r="H12" s="204">
        <f>'приложение 4'!G13</f>
        <v>204155970.16000003</v>
      </c>
      <c r="I12" s="204">
        <v>0</v>
      </c>
      <c r="J12" s="204">
        <f>'приложение 4'!G15</f>
        <v>35649980.10999999</v>
      </c>
      <c r="K12" s="204"/>
      <c r="L12" s="204">
        <v>0</v>
      </c>
      <c r="M12" s="204"/>
      <c r="N12" s="204">
        <f>22803000+5208900.43</f>
        <v>28011900.43</v>
      </c>
      <c r="O12" s="205">
        <f>C12+D12+H12+J12+N12</f>
        <v>455696540.22</v>
      </c>
      <c r="P12" s="206"/>
    </row>
    <row r="13" spans="2:17" s="100" customFormat="1" ht="53.25" customHeight="1" thickBot="1">
      <c r="B13" s="190" t="s">
        <v>271</v>
      </c>
      <c r="C13" s="191">
        <f>C12</f>
        <v>27254823.8</v>
      </c>
      <c r="D13" s="192">
        <f aca="true" t="shared" si="0" ref="D13:O13">D12</f>
        <v>160623865.71999997</v>
      </c>
      <c r="E13" s="192">
        <f>E12</f>
        <v>43817922.769999996</v>
      </c>
      <c r="F13" s="192">
        <f>F12</f>
        <v>13367002.44</v>
      </c>
      <c r="G13" s="192">
        <f t="shared" si="0"/>
        <v>103438940.50999999</v>
      </c>
      <c r="H13" s="192">
        <f t="shared" si="0"/>
        <v>204155970.16000003</v>
      </c>
      <c r="I13" s="192">
        <f t="shared" si="0"/>
        <v>0</v>
      </c>
      <c r="J13" s="192">
        <f t="shared" si="0"/>
        <v>35649980.10999999</v>
      </c>
      <c r="K13" s="192">
        <f t="shared" si="0"/>
        <v>0</v>
      </c>
      <c r="L13" s="192">
        <f t="shared" si="0"/>
        <v>0</v>
      </c>
      <c r="M13" s="192">
        <f t="shared" si="0"/>
        <v>0</v>
      </c>
      <c r="N13" s="192">
        <f t="shared" si="0"/>
        <v>28011900.43</v>
      </c>
      <c r="O13" s="193">
        <f t="shared" si="0"/>
        <v>455696540.22</v>
      </c>
      <c r="P13" s="101"/>
      <c r="Q13" s="101"/>
    </row>
    <row r="14" spans="14:15" ht="12.75">
      <c r="N14" s="6"/>
      <c r="O14" s="5"/>
    </row>
    <row r="15" spans="2:10" ht="12.75" hidden="1">
      <c r="B15" s="7"/>
      <c r="G15" s="5"/>
      <c r="H15" s="8"/>
      <c r="I15" s="8"/>
      <c r="J15" s="8"/>
    </row>
    <row r="16" spans="2:15" ht="12.75" hidden="1">
      <c r="B16" s="1284" t="s">
        <v>319</v>
      </c>
      <c r="C16" s="1284"/>
      <c r="D16" s="1284"/>
      <c r="E16" s="1284"/>
      <c r="F16" s="1284"/>
      <c r="G16" s="1284"/>
      <c r="H16" s="1284"/>
      <c r="I16" s="1284"/>
      <c r="J16" s="1284"/>
      <c r="K16" s="1284"/>
      <c r="L16" s="1284"/>
      <c r="M16" s="1284"/>
      <c r="N16" s="1284"/>
      <c r="O16" s="1284"/>
    </row>
    <row r="17" spans="2:15" ht="60" customHeight="1" hidden="1">
      <c r="B17" s="1269"/>
      <c r="C17" s="1271" t="s">
        <v>258</v>
      </c>
      <c r="D17" s="1273" t="s">
        <v>259</v>
      </c>
      <c r="E17" s="1273"/>
      <c r="F17" s="1273"/>
      <c r="G17" s="1273"/>
      <c r="H17" s="1271" t="s">
        <v>260</v>
      </c>
      <c r="I17" s="1271" t="s">
        <v>283</v>
      </c>
      <c r="J17" s="1271" t="s">
        <v>261</v>
      </c>
      <c r="K17" s="2" t="s">
        <v>262</v>
      </c>
      <c r="L17" s="1271" t="s">
        <v>263</v>
      </c>
      <c r="M17" s="56" t="s">
        <v>264</v>
      </c>
      <c r="N17" s="1271" t="s">
        <v>265</v>
      </c>
      <c r="O17" s="1271" t="s">
        <v>280</v>
      </c>
    </row>
    <row r="18" spans="2:15" ht="38.25" customHeight="1" hidden="1">
      <c r="B18" s="1270"/>
      <c r="C18" s="1272"/>
      <c r="D18" s="56" t="s">
        <v>266</v>
      </c>
      <c r="E18" s="56"/>
      <c r="F18" s="56"/>
      <c r="G18" s="2" t="s">
        <v>267</v>
      </c>
      <c r="H18" s="1272"/>
      <c r="I18" s="1272"/>
      <c r="J18" s="1272"/>
      <c r="K18" s="2"/>
      <c r="L18" s="1272"/>
      <c r="M18" s="56"/>
      <c r="N18" s="1272"/>
      <c r="O18" s="1272"/>
    </row>
    <row r="19" spans="2:15" ht="18" customHeight="1" hidden="1">
      <c r="B19" s="52" t="s">
        <v>318</v>
      </c>
      <c r="C19" s="13">
        <v>62040529.60529471</v>
      </c>
      <c r="D19" s="13">
        <f>SUM(G19:G19)</f>
        <v>351522136.16</v>
      </c>
      <c r="E19" s="13"/>
      <c r="F19" s="13"/>
      <c r="G19" s="14">
        <v>351522136.16</v>
      </c>
      <c r="H19" s="15">
        <v>683764434.2084211</v>
      </c>
      <c r="I19" s="15">
        <v>5588230.59066451</v>
      </c>
      <c r="J19" s="15">
        <v>85704113.38288605</v>
      </c>
      <c r="K19" s="15"/>
      <c r="L19" s="15"/>
      <c r="M19" s="15"/>
      <c r="N19" s="15">
        <f>36093500+14013500</f>
        <v>50107000</v>
      </c>
      <c r="O19" s="15">
        <f>C19+D19+H19+J19+N19</f>
        <v>1233138213.3566017</v>
      </c>
    </row>
    <row r="20" spans="2:15" ht="16.5" customHeight="1" hidden="1">
      <c r="B20" s="52" t="s">
        <v>270</v>
      </c>
      <c r="C20" s="13"/>
      <c r="D20" s="13"/>
      <c r="E20" s="13"/>
      <c r="F20" s="13"/>
      <c r="G20" s="16"/>
      <c r="H20" s="17"/>
      <c r="I20" s="17"/>
      <c r="J20" s="17"/>
      <c r="K20" s="17"/>
      <c r="L20" s="17"/>
      <c r="M20" s="17"/>
      <c r="N20" s="17"/>
      <c r="O20" s="15">
        <v>0</v>
      </c>
    </row>
    <row r="21" spans="2:15" ht="12.75" hidden="1">
      <c r="B21" s="53" t="s">
        <v>271</v>
      </c>
      <c r="C21" s="18">
        <f>C19</f>
        <v>62040529.60529471</v>
      </c>
      <c r="D21" s="18">
        <f aca="true" t="shared" si="1" ref="D21:O21">D19</f>
        <v>351522136.16</v>
      </c>
      <c r="E21" s="18"/>
      <c r="F21" s="18"/>
      <c r="G21" s="18">
        <f t="shared" si="1"/>
        <v>351522136.16</v>
      </c>
      <c r="H21" s="18">
        <f t="shared" si="1"/>
        <v>683764434.2084211</v>
      </c>
      <c r="I21" s="18">
        <f t="shared" si="1"/>
        <v>5588230.59066451</v>
      </c>
      <c r="J21" s="18">
        <f t="shared" si="1"/>
        <v>85704113.38288605</v>
      </c>
      <c r="K21" s="18">
        <f t="shared" si="1"/>
        <v>0</v>
      </c>
      <c r="L21" s="18">
        <f t="shared" si="1"/>
        <v>0</v>
      </c>
      <c r="M21" s="18">
        <f t="shared" si="1"/>
        <v>0</v>
      </c>
      <c r="N21" s="18">
        <f t="shared" si="1"/>
        <v>50107000</v>
      </c>
      <c r="O21" s="18">
        <f t="shared" si="1"/>
        <v>1233138213.3566017</v>
      </c>
    </row>
    <row r="22" spans="2:16" ht="12.75" hidden="1">
      <c r="B22" s="6"/>
      <c r="K22" s="6"/>
      <c r="L22" s="6"/>
      <c r="M22" s="6"/>
      <c r="N22" s="6"/>
      <c r="O22" s="6"/>
      <c r="P22" s="5"/>
    </row>
    <row r="23" spans="2:16" ht="12.75" hidden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</row>
    <row r="24" spans="2:15" ht="12.75" hidden="1">
      <c r="B24" s="1274" t="s">
        <v>0</v>
      </c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</row>
    <row r="25" spans="2:15" ht="35.25" customHeight="1" hidden="1">
      <c r="B25" s="1264"/>
      <c r="C25" s="1266" t="s">
        <v>258</v>
      </c>
      <c r="D25" s="1268" t="s">
        <v>259</v>
      </c>
      <c r="E25" s="1268"/>
      <c r="F25" s="1268"/>
      <c r="G25" s="1268"/>
      <c r="H25" s="1266" t="s">
        <v>260</v>
      </c>
      <c r="I25" s="1266" t="s">
        <v>283</v>
      </c>
      <c r="J25" s="1266" t="s">
        <v>261</v>
      </c>
      <c r="K25" s="19" t="s">
        <v>262</v>
      </c>
      <c r="L25" s="1266" t="s">
        <v>263</v>
      </c>
      <c r="M25" s="55" t="s">
        <v>264</v>
      </c>
      <c r="N25" s="1266" t="s">
        <v>265</v>
      </c>
      <c r="O25" s="1266" t="s">
        <v>280</v>
      </c>
    </row>
    <row r="26" spans="2:15" ht="25.5" hidden="1">
      <c r="B26" s="1265"/>
      <c r="C26" s="1267"/>
      <c r="D26" s="55" t="s">
        <v>266</v>
      </c>
      <c r="E26" s="55"/>
      <c r="F26" s="55"/>
      <c r="G26" s="19" t="s">
        <v>267</v>
      </c>
      <c r="H26" s="1267"/>
      <c r="I26" s="1267"/>
      <c r="J26" s="1267"/>
      <c r="K26" s="19"/>
      <c r="L26" s="1267"/>
      <c r="M26" s="55"/>
      <c r="N26" s="1267"/>
      <c r="O26" s="1267"/>
    </row>
    <row r="27" spans="2:15" ht="21" customHeight="1" hidden="1">
      <c r="B27" s="52" t="s">
        <v>318</v>
      </c>
      <c r="C27" s="13">
        <v>66400602.152658656</v>
      </c>
      <c r="D27" s="13">
        <f>SUM(G27:G27)</f>
        <v>376226342.02</v>
      </c>
      <c r="E27" s="13"/>
      <c r="F27" s="13"/>
      <c r="G27" s="14">
        <v>376226342.02</v>
      </c>
      <c r="H27" s="15">
        <v>731817901.1504819</v>
      </c>
      <c r="I27" s="15">
        <v>5980959.197942813</v>
      </c>
      <c r="J27" s="15">
        <v>91727210.77316038</v>
      </c>
      <c r="K27" s="15"/>
      <c r="L27" s="15"/>
      <c r="M27" s="15"/>
      <c r="N27" s="15">
        <f>37681700+14630100</f>
        <v>52311800</v>
      </c>
      <c r="O27" s="15">
        <f>C27+D27+H27+J27+N27</f>
        <v>1318483856.096301</v>
      </c>
    </row>
    <row r="28" spans="2:15" ht="18" customHeight="1" hidden="1">
      <c r="B28" s="52" t="s">
        <v>270</v>
      </c>
      <c r="C28" s="13"/>
      <c r="D28" s="13"/>
      <c r="E28" s="13"/>
      <c r="F28" s="13"/>
      <c r="G28" s="16"/>
      <c r="H28" s="17"/>
      <c r="I28" s="17"/>
      <c r="J28" s="17"/>
      <c r="K28" s="17"/>
      <c r="L28" s="17"/>
      <c r="M28" s="17"/>
      <c r="N28" s="17"/>
      <c r="O28" s="15">
        <v>0</v>
      </c>
    </row>
    <row r="29" spans="2:15" ht="18" customHeight="1" hidden="1">
      <c r="B29" s="53" t="s">
        <v>271</v>
      </c>
      <c r="C29" s="18">
        <f>C27</f>
        <v>66400602.152658656</v>
      </c>
      <c r="D29" s="18">
        <f aca="true" t="shared" si="2" ref="D29:O29">D27</f>
        <v>376226342.02</v>
      </c>
      <c r="E29" s="18"/>
      <c r="F29" s="18"/>
      <c r="G29" s="18">
        <f t="shared" si="2"/>
        <v>376226342.02</v>
      </c>
      <c r="H29" s="18">
        <f t="shared" si="2"/>
        <v>731817901.1504819</v>
      </c>
      <c r="I29" s="18">
        <f t="shared" si="2"/>
        <v>5980959.197942813</v>
      </c>
      <c r="J29" s="18">
        <f t="shared" si="2"/>
        <v>91727210.77316038</v>
      </c>
      <c r="K29" s="18">
        <f t="shared" si="2"/>
        <v>0</v>
      </c>
      <c r="L29" s="18">
        <f t="shared" si="2"/>
        <v>0</v>
      </c>
      <c r="M29" s="18">
        <f t="shared" si="2"/>
        <v>0</v>
      </c>
      <c r="N29" s="18">
        <f t="shared" si="2"/>
        <v>52311800</v>
      </c>
      <c r="O29" s="18">
        <f t="shared" si="2"/>
        <v>1318483856.096301</v>
      </c>
    </row>
    <row r="30" spans="2:14" ht="12.75">
      <c r="B30" s="6"/>
      <c r="K30" s="6"/>
      <c r="L30" s="6"/>
      <c r="M30" s="6"/>
      <c r="N30" s="6"/>
    </row>
    <row r="31" spans="3:13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ht="12.75">
      <c r="C32" s="7"/>
    </row>
    <row r="33" spans="3:6" ht="12.75">
      <c r="C33" s="5"/>
      <c r="D33" s="5"/>
      <c r="E33" s="5"/>
      <c r="F33" s="5"/>
    </row>
    <row r="55" ht="12.75">
      <c r="O55" s="6">
        <v>455696549.33</v>
      </c>
    </row>
    <row r="56" ht="12.75">
      <c r="O56" s="5"/>
    </row>
    <row r="57" ht="12.75">
      <c r="O57" s="6">
        <f>O55-O13</f>
        <v>9.10999995470047</v>
      </c>
    </row>
  </sheetData>
  <sheetProtection/>
  <mergeCells count="31">
    <mergeCell ref="O9:O10"/>
    <mergeCell ref="I17:I18"/>
    <mergeCell ref="C9:C10"/>
    <mergeCell ref="J17:J18"/>
    <mergeCell ref="H9:H10"/>
    <mergeCell ref="J9:J10"/>
    <mergeCell ref="L2:O2"/>
    <mergeCell ref="L9:L10"/>
    <mergeCell ref="B5:O5"/>
    <mergeCell ref="I9:I10"/>
    <mergeCell ref="N9:N10"/>
    <mergeCell ref="L25:L26"/>
    <mergeCell ref="B9:B10"/>
    <mergeCell ref="N25:N26"/>
    <mergeCell ref="D9:G9"/>
    <mergeCell ref="B16:O16"/>
    <mergeCell ref="N17:N18"/>
    <mergeCell ref="O25:O26"/>
    <mergeCell ref="O17:O18"/>
    <mergeCell ref="I25:I26"/>
    <mergeCell ref="L17:L18"/>
    <mergeCell ref="B24:O24"/>
    <mergeCell ref="B25:B26"/>
    <mergeCell ref="C25:C26"/>
    <mergeCell ref="D25:G25"/>
    <mergeCell ref="H25:H26"/>
    <mergeCell ref="J25:J26"/>
    <mergeCell ref="B17:B18"/>
    <mergeCell ref="C17:C18"/>
    <mergeCell ref="D17:G17"/>
    <mergeCell ref="H17:H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B1:BP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.8515625" style="0" customWidth="1"/>
    <col min="2" max="2" width="53.421875" style="0" customWidth="1"/>
    <col min="3" max="3" width="6.28125" style="0" customWidth="1"/>
    <col min="4" max="4" width="12.8515625" style="0" customWidth="1"/>
    <col min="5" max="5" width="16.140625" style="0" customWidth="1"/>
    <col min="6" max="6" width="14.8515625" style="0" customWidth="1"/>
    <col min="7" max="7" width="16.421875" style="0" customWidth="1"/>
    <col min="8" max="91" width="9.140625" style="224" customWidth="1"/>
  </cols>
  <sheetData>
    <row r="1" spans="5:7" ht="54.75" customHeight="1">
      <c r="E1" s="1287" t="s">
        <v>40</v>
      </c>
      <c r="F1" s="1287"/>
      <c r="G1" s="1287"/>
    </row>
    <row r="2" spans="5:7" ht="54.75" customHeight="1">
      <c r="E2" s="251"/>
      <c r="F2" s="251"/>
      <c r="G2" s="251"/>
    </row>
    <row r="4" spans="2:7" ht="30" customHeight="1">
      <c r="B4" s="1288" t="s">
        <v>131</v>
      </c>
      <c r="C4" s="1288"/>
      <c r="D4" s="1288"/>
      <c r="E4" s="1288"/>
      <c r="F4" s="1288"/>
      <c r="G4" s="1288"/>
    </row>
    <row r="5" ht="15.75" thickBot="1"/>
    <row r="6" spans="2:67" ht="30.75" customHeight="1">
      <c r="B6" s="1289" t="s">
        <v>1</v>
      </c>
      <c r="C6" s="1293" t="s">
        <v>298</v>
      </c>
      <c r="D6" s="1291" t="s">
        <v>319</v>
      </c>
      <c r="E6" s="1291"/>
      <c r="F6" s="1291"/>
      <c r="G6" s="1292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</row>
    <row r="7" spans="2:67" ht="35.25" customHeight="1">
      <c r="B7" s="1290"/>
      <c r="C7" s="1294"/>
      <c r="D7" s="1295" t="s">
        <v>284</v>
      </c>
      <c r="E7" s="1295"/>
      <c r="F7" s="1296" t="s">
        <v>285</v>
      </c>
      <c r="G7" s="1297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</row>
    <row r="8" spans="2:61" ht="73.5" customHeight="1" thickBot="1">
      <c r="B8" s="1290"/>
      <c r="C8" s="1294"/>
      <c r="D8" s="271" t="s">
        <v>286</v>
      </c>
      <c r="E8" s="271" t="s">
        <v>2</v>
      </c>
      <c r="F8" s="272" t="s">
        <v>286</v>
      </c>
      <c r="G8" s="273" t="s">
        <v>3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</row>
    <row r="9" spans="2:61" ht="15.75" thickBot="1">
      <c r="B9" s="279">
        <v>1</v>
      </c>
      <c r="C9" s="280">
        <v>2</v>
      </c>
      <c r="D9" s="281">
        <v>3</v>
      </c>
      <c r="E9" s="281">
        <v>4</v>
      </c>
      <c r="F9" s="281">
        <v>5</v>
      </c>
      <c r="G9" s="282">
        <v>6</v>
      </c>
      <c r="H9" s="223"/>
      <c r="I9" s="223"/>
      <c r="J9" s="223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2:68" ht="42.75" customHeight="1">
      <c r="B10" s="274" t="s">
        <v>4</v>
      </c>
      <c r="C10" s="275" t="s">
        <v>5</v>
      </c>
      <c r="D10" s="963">
        <f>D11+D12</f>
        <v>455.69654932799995</v>
      </c>
      <c r="E10" s="276">
        <f>E11+E12</f>
        <v>10464.235999999999</v>
      </c>
      <c r="F10" s="277">
        <f>D10</f>
        <v>455.69654932799995</v>
      </c>
      <c r="G10" s="278">
        <f>E10</f>
        <v>10464.235999999999</v>
      </c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</row>
    <row r="11" spans="2:68" ht="30.75" customHeight="1">
      <c r="B11" s="227" t="s">
        <v>287</v>
      </c>
      <c r="C11" s="233" t="s">
        <v>288</v>
      </c>
      <c r="D11" s="239"/>
      <c r="E11" s="239"/>
      <c r="F11" s="240"/>
      <c r="G11" s="259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</row>
    <row r="12" spans="2:68" ht="30.75" customHeight="1">
      <c r="B12" s="227" t="s">
        <v>6</v>
      </c>
      <c r="C12" s="233" t="s">
        <v>289</v>
      </c>
      <c r="D12" s="241">
        <f>D13</f>
        <v>455.69654932799995</v>
      </c>
      <c r="E12" s="242">
        <f>E13</f>
        <v>10464.235999999999</v>
      </c>
      <c r="F12" s="243">
        <f aca="true" t="shared" si="0" ref="F12:G16">D12</f>
        <v>455.69654932799995</v>
      </c>
      <c r="G12" s="260">
        <f t="shared" si="0"/>
        <v>10464.235999999999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</row>
    <row r="13" spans="2:68" ht="56.25" customHeight="1">
      <c r="B13" s="232" t="s">
        <v>7</v>
      </c>
      <c r="C13" s="233" t="s">
        <v>290</v>
      </c>
      <c r="D13" s="234">
        <f>D14+D15+D16</f>
        <v>455.69654932799995</v>
      </c>
      <c r="E13" s="235">
        <f>E14+E15+E16</f>
        <v>10464.235999999999</v>
      </c>
      <c r="F13" s="236">
        <f t="shared" si="0"/>
        <v>455.69654932799995</v>
      </c>
      <c r="G13" s="261">
        <f t="shared" si="0"/>
        <v>10464.235999999999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</row>
    <row r="14" spans="2:68" ht="19.5" customHeight="1">
      <c r="B14" s="228" t="s">
        <v>8</v>
      </c>
      <c r="C14" s="233" t="s">
        <v>291</v>
      </c>
      <c r="D14" s="244">
        <f>E14*43548/1000000</f>
        <v>455.69654932799995</v>
      </c>
      <c r="E14" s="245">
        <f>8438.9*1.24</f>
        <v>10464.235999999999</v>
      </c>
      <c r="F14" s="244">
        <f t="shared" si="0"/>
        <v>455.69654932799995</v>
      </c>
      <c r="G14" s="262">
        <f t="shared" si="0"/>
        <v>10464.235999999999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</row>
    <row r="15" spans="2:68" ht="68.25" customHeight="1">
      <c r="B15" s="228" t="s">
        <v>9</v>
      </c>
      <c r="C15" s="233" t="s">
        <v>292</v>
      </c>
      <c r="D15" s="244">
        <v>0</v>
      </c>
      <c r="E15" s="246">
        <v>0</v>
      </c>
      <c r="F15" s="244">
        <f t="shared" si="0"/>
        <v>0</v>
      </c>
      <c r="G15" s="263">
        <f t="shared" si="0"/>
        <v>0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</row>
    <row r="16" spans="2:68" ht="24" customHeight="1">
      <c r="B16" s="229" t="s">
        <v>295</v>
      </c>
      <c r="C16" s="233" t="s">
        <v>293</v>
      </c>
      <c r="D16" s="247">
        <v>0</v>
      </c>
      <c r="E16" s="248">
        <v>0</v>
      </c>
      <c r="F16" s="247">
        <f t="shared" si="0"/>
        <v>0</v>
      </c>
      <c r="G16" s="264">
        <f t="shared" si="0"/>
        <v>0</v>
      </c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</row>
    <row r="17" spans="2:68" ht="80.25" customHeight="1">
      <c r="B17" s="230" t="s">
        <v>130</v>
      </c>
      <c r="C17" s="233" t="s">
        <v>294</v>
      </c>
      <c r="D17" s="238">
        <f>D18+D19</f>
        <v>0</v>
      </c>
      <c r="E17" s="237">
        <f>E18+E19</f>
        <v>0</v>
      </c>
      <c r="F17" s="238">
        <f>F18+F19</f>
        <v>0</v>
      </c>
      <c r="G17" s="265">
        <f>G18+G19</f>
        <v>0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</row>
    <row r="18" spans="2:68" ht="70.5" customHeight="1">
      <c r="B18" s="230" t="s">
        <v>10</v>
      </c>
      <c r="C18" s="233" t="s">
        <v>296</v>
      </c>
      <c r="D18" s="249">
        <v>0</v>
      </c>
      <c r="E18" s="250">
        <v>0</v>
      </c>
      <c r="F18" s="249">
        <v>0</v>
      </c>
      <c r="G18" s="266">
        <v>0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</row>
    <row r="19" spans="2:68" ht="102" customHeight="1" thickBot="1">
      <c r="B19" s="231" t="s">
        <v>11</v>
      </c>
      <c r="C19" s="267" t="s">
        <v>297</v>
      </c>
      <c r="D19" s="268">
        <v>0</v>
      </c>
      <c r="E19" s="269">
        <v>0</v>
      </c>
      <c r="F19" s="268">
        <v>0</v>
      </c>
      <c r="G19" s="270">
        <v>0</v>
      </c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</row>
    <row r="20" ht="19.5" customHeight="1"/>
  </sheetData>
  <sheetProtection/>
  <mergeCells count="7">
    <mergeCell ref="E1:G1"/>
    <mergeCell ref="B4:G4"/>
    <mergeCell ref="B6:B8"/>
    <mergeCell ref="D6:G6"/>
    <mergeCell ref="C6:C8"/>
    <mergeCell ref="D7:E7"/>
    <mergeCell ref="F7:G7"/>
  </mergeCells>
  <printOptions/>
  <pageMargins left="0.75" right="0.23" top="0.82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48"/>
  <sheetViews>
    <sheetView view="pageBreakPreview" zoomScaleSheetLayoutView="100" zoomScalePageLayoutView="0" workbookViewId="0" topLeftCell="B16">
      <selection activeCell="F26" sqref="F26"/>
    </sheetView>
  </sheetViews>
  <sheetFormatPr defaultColWidth="0.85546875" defaultRowHeight="15"/>
  <cols>
    <col min="1" max="1" width="38.140625" style="30" customWidth="1"/>
    <col min="2" max="2" width="9.421875" style="30" customWidth="1"/>
    <col min="3" max="3" width="21.57421875" style="30" customWidth="1"/>
    <col min="4" max="4" width="17.140625" style="30" customWidth="1"/>
    <col min="5" max="5" width="20.140625" style="30" customWidth="1"/>
    <col min="6" max="6" width="15.140625" style="30" customWidth="1"/>
    <col min="7" max="7" width="12.421875" style="30" customWidth="1"/>
    <col min="8" max="8" width="13.7109375" style="30" customWidth="1"/>
    <col min="9" max="9" width="13.140625" style="209" customWidth="1"/>
    <col min="10" max="10" width="9.8515625" style="30" customWidth="1"/>
    <col min="11" max="134" width="0.85546875" style="30" customWidth="1"/>
    <col min="135" max="135" width="0.71875" style="30" customWidth="1"/>
    <col min="136" max="136" width="0" style="30" hidden="1" customWidth="1"/>
    <col min="137" max="137" width="0.2890625" style="30" customWidth="1"/>
    <col min="138" max="139" width="0.85546875" style="30" customWidth="1"/>
    <col min="140" max="140" width="0.42578125" style="30" customWidth="1"/>
    <col min="141" max="145" width="0.85546875" style="30" customWidth="1"/>
    <col min="146" max="146" width="6.140625" style="30" customWidth="1"/>
    <col min="147" max="154" width="0.85546875" style="30" customWidth="1"/>
    <col min="155" max="155" width="0.2890625" style="30" customWidth="1"/>
    <col min="156" max="163" width="0.85546875" style="30" customWidth="1"/>
    <col min="164" max="164" width="0" style="30" hidden="1" customWidth="1"/>
    <col min="165" max="167" width="0.85546875" style="30" customWidth="1"/>
    <col min="168" max="168" width="5.28125" style="30" customWidth="1"/>
    <col min="169" max="201" width="0.85546875" style="30" customWidth="1"/>
    <col min="202" max="202" width="7.28125" style="30" customWidth="1"/>
    <col min="203" max="16384" width="0.85546875" style="30" customWidth="1"/>
  </cols>
  <sheetData>
    <row r="1" spans="7:11" ht="51" customHeight="1">
      <c r="G1" s="1301" t="s">
        <v>41</v>
      </c>
      <c r="H1" s="1301"/>
      <c r="I1" s="1301"/>
      <c r="J1" s="1301"/>
      <c r="K1" s="1301"/>
    </row>
    <row r="2" spans="7:11" ht="13.5" customHeight="1">
      <c r="G2" s="221"/>
      <c r="H2" s="221"/>
      <c r="I2" s="221"/>
      <c r="J2" s="221"/>
      <c r="K2" s="221"/>
    </row>
    <row r="3" spans="1:11" ht="14.25" customHeight="1">
      <c r="A3" s="1306" t="s">
        <v>12</v>
      </c>
      <c r="B3" s="1306"/>
      <c r="C3" s="1306"/>
      <c r="D3" s="1306"/>
      <c r="E3" s="1306"/>
      <c r="F3" s="1306"/>
      <c r="G3" s="1306"/>
      <c r="H3" s="1306"/>
      <c r="I3" s="1306"/>
      <c r="J3" s="1306"/>
      <c r="K3" s="1306"/>
    </row>
    <row r="4" spans="1:11" ht="14.25" customHeight="1">
      <c r="A4" s="1306" t="s">
        <v>126</v>
      </c>
      <c r="B4" s="1306"/>
      <c r="C4" s="1306"/>
      <c r="D4" s="1306"/>
      <c r="E4" s="1306"/>
      <c r="F4" s="1306"/>
      <c r="G4" s="1306"/>
      <c r="H4" s="1306"/>
      <c r="I4" s="1306"/>
      <c r="J4" s="1306"/>
      <c r="K4" s="1306"/>
    </row>
    <row r="5" spans="1:11" ht="14.25" customHeight="1">
      <c r="A5" s="1306" t="s">
        <v>127</v>
      </c>
      <c r="B5" s="1306"/>
      <c r="C5" s="1306"/>
      <c r="D5" s="1306"/>
      <c r="E5" s="1306"/>
      <c r="F5" s="1306"/>
      <c r="G5" s="1306"/>
      <c r="H5" s="1306"/>
      <c r="I5" s="1306"/>
      <c r="J5" s="1306"/>
      <c r="K5" s="1306"/>
    </row>
    <row r="6" ht="8.25" customHeight="1"/>
    <row r="7" spans="1:10" s="28" customFormat="1" ht="52.5" customHeight="1">
      <c r="A7" s="1307"/>
      <c r="B7" s="1303" t="s">
        <v>298</v>
      </c>
      <c r="C7" s="1303" t="s">
        <v>299</v>
      </c>
      <c r="D7" s="1303" t="s">
        <v>13</v>
      </c>
      <c r="E7" s="1303" t="s">
        <v>300</v>
      </c>
      <c r="F7" s="1298" t="s">
        <v>14</v>
      </c>
      <c r="G7" s="1302"/>
      <c r="H7" s="1298" t="s">
        <v>301</v>
      </c>
      <c r="I7" s="1299"/>
      <c r="J7" s="1307" t="s">
        <v>304</v>
      </c>
    </row>
    <row r="8" spans="1:10" s="28" customFormat="1" ht="15" customHeight="1">
      <c r="A8" s="1307"/>
      <c r="B8" s="1304"/>
      <c r="C8" s="1304"/>
      <c r="D8" s="1304"/>
      <c r="E8" s="1304"/>
      <c r="F8" s="1298" t="s">
        <v>302</v>
      </c>
      <c r="G8" s="1302"/>
      <c r="H8" s="1298" t="s">
        <v>303</v>
      </c>
      <c r="I8" s="1302"/>
      <c r="J8" s="1307"/>
    </row>
    <row r="9" spans="1:10" s="28" customFormat="1" ht="61.5" customHeight="1">
      <c r="A9" s="1307"/>
      <c r="B9" s="1305"/>
      <c r="C9" s="1305"/>
      <c r="D9" s="1305"/>
      <c r="E9" s="1305"/>
      <c r="F9" s="43" t="s">
        <v>15</v>
      </c>
      <c r="G9" s="43" t="s">
        <v>16</v>
      </c>
      <c r="H9" s="44" t="s">
        <v>17</v>
      </c>
      <c r="I9" s="210" t="s">
        <v>18</v>
      </c>
      <c r="J9" s="1307"/>
    </row>
    <row r="10" spans="1:10" ht="12" customHeight="1">
      <c r="A10" s="36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15">
        <v>8</v>
      </c>
      <c r="J10" s="39">
        <v>9</v>
      </c>
    </row>
    <row r="11" spans="1:10" s="3" customFormat="1" ht="25.5" customHeight="1">
      <c r="A11" s="33" t="s">
        <v>305</v>
      </c>
      <c r="B11" s="37" t="s">
        <v>20</v>
      </c>
      <c r="C11" s="37"/>
      <c r="D11" s="25" t="s">
        <v>241</v>
      </c>
      <c r="E11" s="25" t="s">
        <v>241</v>
      </c>
      <c r="F11" s="25" t="s">
        <v>241</v>
      </c>
      <c r="G11" s="40">
        <f>G12+G13+G14+G15+G16+G19+G20+G21</f>
        <v>10464.239999999998</v>
      </c>
      <c r="H11" s="25" t="s">
        <v>241</v>
      </c>
      <c r="I11" s="212">
        <f>I12+I13+I14+I15+I16+I19+I20+I21</f>
        <v>455.697</v>
      </c>
      <c r="J11" s="925">
        <v>1</v>
      </c>
    </row>
    <row r="12" spans="1:10" s="4" customFormat="1" ht="27" customHeight="1">
      <c r="A12" s="34" t="s">
        <v>78</v>
      </c>
      <c r="B12" s="38" t="s">
        <v>21</v>
      </c>
      <c r="C12" s="38" t="s">
        <v>306</v>
      </c>
      <c r="D12" s="47">
        <f>D25+D34</f>
        <v>0.299990814733168</v>
      </c>
      <c r="E12" s="41">
        <f>E25+E34</f>
        <v>2086.204118187385</v>
      </c>
      <c r="F12" s="26" t="s">
        <v>241</v>
      </c>
      <c r="G12" s="41">
        <f aca="true" t="shared" si="0" ref="G12:G19">G25+G34</f>
        <v>625.86</v>
      </c>
      <c r="H12" s="26" t="s">
        <v>241</v>
      </c>
      <c r="I12" s="213">
        <f>I25+I34</f>
        <v>27.255000000000003</v>
      </c>
      <c r="J12" s="926" t="s">
        <v>241</v>
      </c>
    </row>
    <row r="13" spans="1:10" s="4" customFormat="1" ht="38.25" customHeight="1">
      <c r="A13" s="1309" t="s">
        <v>19</v>
      </c>
      <c r="B13" s="38" t="s">
        <v>22</v>
      </c>
      <c r="C13" s="45" t="s">
        <v>23</v>
      </c>
      <c r="D13" s="48">
        <f aca="true" t="shared" si="1" ref="D13:E19">D26+D35</f>
        <v>2.350004592633416</v>
      </c>
      <c r="E13" s="46">
        <f t="shared" si="1"/>
        <v>428.16864478492835</v>
      </c>
      <c r="F13" s="26" t="s">
        <v>241</v>
      </c>
      <c r="G13" s="46">
        <f t="shared" si="0"/>
        <v>1006.2</v>
      </c>
      <c r="H13" s="26" t="s">
        <v>241</v>
      </c>
      <c r="I13" s="214">
        <f aca="true" t="shared" si="2" ref="I13:I19">I26+I35</f>
        <v>43.818</v>
      </c>
      <c r="J13" s="926" t="s">
        <v>241</v>
      </c>
    </row>
    <row r="14" spans="1:10" s="4" customFormat="1" ht="45.75" customHeight="1">
      <c r="A14" s="1310"/>
      <c r="B14" s="38" t="s">
        <v>24</v>
      </c>
      <c r="C14" s="45" t="s">
        <v>25</v>
      </c>
      <c r="D14" s="48">
        <f t="shared" si="1"/>
        <v>0.5600027555800496</v>
      </c>
      <c r="E14" s="46">
        <f t="shared" si="1"/>
        <v>548.12</v>
      </c>
      <c r="F14" s="26" t="s">
        <v>241</v>
      </c>
      <c r="G14" s="46">
        <f t="shared" si="0"/>
        <v>306.95</v>
      </c>
      <c r="H14" s="26" t="s">
        <v>241</v>
      </c>
      <c r="I14" s="214">
        <f t="shared" si="2"/>
        <v>13.367</v>
      </c>
      <c r="J14" s="926" t="s">
        <v>241</v>
      </c>
    </row>
    <row r="15" spans="1:10" s="4" customFormat="1" ht="20.25" customHeight="1">
      <c r="A15" s="1311"/>
      <c r="B15" s="38" t="s">
        <v>26</v>
      </c>
      <c r="C15" s="45" t="s">
        <v>307</v>
      </c>
      <c r="D15" s="48">
        <f t="shared" si="1"/>
        <v>1.9799990814733168</v>
      </c>
      <c r="E15" s="46">
        <f t="shared" si="1"/>
        <v>1199.639785561032</v>
      </c>
      <c r="F15" s="26" t="s">
        <v>241</v>
      </c>
      <c r="G15" s="46">
        <f t="shared" si="0"/>
        <v>2375.29</v>
      </c>
      <c r="H15" s="26" t="s">
        <v>241</v>
      </c>
      <c r="I15" s="214">
        <f t="shared" si="2"/>
        <v>103.439</v>
      </c>
      <c r="J15" s="926" t="s">
        <v>241</v>
      </c>
    </row>
    <row r="16" spans="1:10" s="4" customFormat="1" ht="27" customHeight="1">
      <c r="A16" s="34" t="s">
        <v>27</v>
      </c>
      <c r="B16" s="38" t="s">
        <v>28</v>
      </c>
      <c r="C16" s="34" t="s">
        <v>320</v>
      </c>
      <c r="D16" s="208">
        <f t="shared" si="1"/>
        <v>0.17214190043170755</v>
      </c>
      <c r="E16" s="41">
        <f t="shared" si="1"/>
        <v>27234.051526147283</v>
      </c>
      <c r="F16" s="26" t="s">
        <v>241</v>
      </c>
      <c r="G16" s="41">
        <f t="shared" si="0"/>
        <v>4688.07</v>
      </c>
      <c r="H16" s="26" t="s">
        <v>241</v>
      </c>
      <c r="I16" s="213">
        <f t="shared" si="2"/>
        <v>204.156</v>
      </c>
      <c r="J16" s="926" t="s">
        <v>241</v>
      </c>
    </row>
    <row r="17" spans="1:10" s="4" customFormat="1" ht="40.5" customHeight="1">
      <c r="A17" s="34" t="s">
        <v>29</v>
      </c>
      <c r="B17" s="38" t="s">
        <v>30</v>
      </c>
      <c r="C17" s="34" t="s">
        <v>308</v>
      </c>
      <c r="D17" s="47">
        <f t="shared" si="1"/>
        <v>0</v>
      </c>
      <c r="E17" s="41">
        <f t="shared" si="1"/>
        <v>0</v>
      </c>
      <c r="F17" s="26" t="s">
        <v>241</v>
      </c>
      <c r="G17" s="41">
        <f t="shared" si="0"/>
        <v>0</v>
      </c>
      <c r="H17" s="26" t="s">
        <v>241</v>
      </c>
      <c r="I17" s="213">
        <f t="shared" si="2"/>
        <v>0</v>
      </c>
      <c r="J17" s="926" t="s">
        <v>241</v>
      </c>
    </row>
    <row r="18" spans="1:10" s="4" customFormat="1" ht="35.25" customHeight="1">
      <c r="A18" s="35" t="s">
        <v>31</v>
      </c>
      <c r="B18" s="38" t="s">
        <v>32</v>
      </c>
      <c r="C18" s="34" t="s">
        <v>320</v>
      </c>
      <c r="D18" s="47">
        <f t="shared" si="1"/>
        <v>0</v>
      </c>
      <c r="E18" s="41">
        <f t="shared" si="1"/>
        <v>0</v>
      </c>
      <c r="F18" s="26" t="s">
        <v>241</v>
      </c>
      <c r="G18" s="41">
        <f t="shared" si="0"/>
        <v>0</v>
      </c>
      <c r="H18" s="26" t="s">
        <v>241</v>
      </c>
      <c r="I18" s="213">
        <f t="shared" si="2"/>
        <v>0</v>
      </c>
      <c r="J18" s="926" t="s">
        <v>241</v>
      </c>
    </row>
    <row r="19" spans="1:10" s="4" customFormat="1" ht="27" customHeight="1">
      <c r="A19" s="34" t="s">
        <v>33</v>
      </c>
      <c r="B19" s="38" t="s">
        <v>34</v>
      </c>
      <c r="C19" s="34" t="s">
        <v>83</v>
      </c>
      <c r="D19" s="47">
        <f t="shared" si="1"/>
        <v>0.0600027555800496</v>
      </c>
      <c r="E19" s="41">
        <f t="shared" si="1"/>
        <v>13643.834240336775</v>
      </c>
      <c r="F19" s="26" t="s">
        <v>241</v>
      </c>
      <c r="G19" s="41">
        <f t="shared" si="0"/>
        <v>818.63</v>
      </c>
      <c r="H19" s="26" t="s">
        <v>241</v>
      </c>
      <c r="I19" s="213">
        <f t="shared" si="2"/>
        <v>35.65</v>
      </c>
      <c r="J19" s="926" t="s">
        <v>241</v>
      </c>
    </row>
    <row r="20" spans="1:10" s="31" customFormat="1" ht="23.25" customHeight="1">
      <c r="A20" s="34" t="s">
        <v>35</v>
      </c>
      <c r="B20" s="38" t="s">
        <v>36</v>
      </c>
      <c r="C20" s="34" t="s">
        <v>308</v>
      </c>
      <c r="D20" s="47">
        <f>D42</f>
        <v>0</v>
      </c>
      <c r="E20" s="41">
        <f>E42</f>
        <v>0</v>
      </c>
      <c r="F20" s="26" t="s">
        <v>241</v>
      </c>
      <c r="G20" s="41">
        <f>G42</f>
        <v>0</v>
      </c>
      <c r="H20" s="26" t="s">
        <v>241</v>
      </c>
      <c r="I20" s="213">
        <f>I42</f>
        <v>0</v>
      </c>
      <c r="J20" s="926" t="s">
        <v>241</v>
      </c>
    </row>
    <row r="21" spans="1:10" s="3" customFormat="1" ht="25.5" customHeight="1">
      <c r="A21" s="34" t="s">
        <v>37</v>
      </c>
      <c r="B21" s="38" t="s">
        <v>38</v>
      </c>
      <c r="C21" s="37"/>
      <c r="D21" s="27" t="s">
        <v>241</v>
      </c>
      <c r="E21" s="26" t="s">
        <v>241</v>
      </c>
      <c r="F21" s="26" t="s">
        <v>241</v>
      </c>
      <c r="G21" s="41">
        <f>ROUND('приложение 5'!N13/'приложение 1'!G14,2)</f>
        <v>643.24</v>
      </c>
      <c r="H21" s="26" t="s">
        <v>241</v>
      </c>
      <c r="I21" s="213">
        <f>ROUND('приложение 5'!N13/1000000,3)</f>
        <v>28.012</v>
      </c>
      <c r="J21" s="927">
        <f>I21/I11</f>
        <v>0.06147067020410492</v>
      </c>
    </row>
    <row r="22" spans="1:10" s="3" customFormat="1" ht="25.5" customHeight="1">
      <c r="A22" s="220" t="s">
        <v>128</v>
      </c>
      <c r="B22" s="38"/>
      <c r="C22" s="37"/>
      <c r="D22" s="27"/>
      <c r="E22" s="26"/>
      <c r="F22" s="26"/>
      <c r="G22" s="41"/>
      <c r="H22" s="26"/>
      <c r="I22" s="213">
        <v>22.803</v>
      </c>
      <c r="J22" s="927"/>
    </row>
    <row r="23" spans="1:10" s="3" customFormat="1" ht="25.5" customHeight="1">
      <c r="A23" s="220" t="s">
        <v>129</v>
      </c>
      <c r="B23" s="38"/>
      <c r="C23" s="37"/>
      <c r="D23" s="27"/>
      <c r="E23" s="26"/>
      <c r="F23" s="26"/>
      <c r="G23" s="41"/>
      <c r="H23" s="26"/>
      <c r="I23" s="213">
        <f>I21-I22</f>
        <v>5.209</v>
      </c>
      <c r="J23" s="927"/>
    </row>
    <row r="24" spans="1:10" s="4" customFormat="1" ht="48.75" customHeight="1">
      <c r="A24" s="33" t="s">
        <v>44</v>
      </c>
      <c r="B24" s="38" t="s">
        <v>45</v>
      </c>
      <c r="C24" s="38"/>
      <c r="D24" s="27" t="s">
        <v>241</v>
      </c>
      <c r="E24" s="26" t="s">
        <v>241</v>
      </c>
      <c r="F24" s="26" t="s">
        <v>241</v>
      </c>
      <c r="G24" s="40">
        <f>G25+G26+G27+G28+G29+G32</f>
        <v>9820.999999999998</v>
      </c>
      <c r="H24" s="26" t="s">
        <v>241</v>
      </c>
      <c r="I24" s="212">
        <f>I25+I26+I27+I28+I29+I32</f>
        <v>427.685</v>
      </c>
      <c r="J24" s="925">
        <f>I24/I11</f>
        <v>0.9385293297958951</v>
      </c>
    </row>
    <row r="25" spans="1:10" s="4" customFormat="1" ht="20.25" customHeight="1">
      <c r="A25" s="34" t="s">
        <v>255</v>
      </c>
      <c r="B25" s="38" t="s">
        <v>46</v>
      </c>
      <c r="C25" s="38" t="s">
        <v>306</v>
      </c>
      <c r="D25" s="47">
        <f>'приложение 1'!C12/'приложение 1'!G14</f>
        <v>0.299990814733168</v>
      </c>
      <c r="E25" s="41">
        <f>'приложение 5'!C13/'приложение 1'!C12-0.05</f>
        <v>2086.204118187385</v>
      </c>
      <c r="F25" s="26" t="s">
        <v>241</v>
      </c>
      <c r="G25" s="41">
        <f>ROUND('приложение 5'!C13/'приложение 1'!G14,2)</f>
        <v>625.86</v>
      </c>
      <c r="H25" s="26" t="s">
        <v>241</v>
      </c>
      <c r="I25" s="213">
        <f>ROUNDDOWN('приложение 5'!C13/1000000,3)+0.001</f>
        <v>27.255000000000003</v>
      </c>
      <c r="J25" s="926" t="s">
        <v>241</v>
      </c>
    </row>
    <row r="26" spans="1:11" s="4" customFormat="1" ht="39.75" customHeight="1">
      <c r="A26" s="1309" t="s">
        <v>19</v>
      </c>
      <c r="B26" s="38" t="s">
        <v>47</v>
      </c>
      <c r="C26" s="45" t="s">
        <v>23</v>
      </c>
      <c r="D26" s="48">
        <f>'приложение 1'!H12/'приложение 1'!G14</f>
        <v>2.350004592633416</v>
      </c>
      <c r="E26" s="41">
        <f>'приложение 5'!E13/'приложение 1'!H12</f>
        <v>428.16864478492835</v>
      </c>
      <c r="F26" s="26" t="s">
        <v>241</v>
      </c>
      <c r="G26" s="41">
        <f>ROUND('приложение 5'!E13/'приложение 1'!G14,2)</f>
        <v>1006.2</v>
      </c>
      <c r="H26" s="26" t="s">
        <v>241</v>
      </c>
      <c r="I26" s="213">
        <f>ROUND('приложение 5'!E13/1000000,3)</f>
        <v>43.818</v>
      </c>
      <c r="J26" s="926" t="s">
        <v>241</v>
      </c>
      <c r="K26" s="32"/>
    </row>
    <row r="27" spans="1:10" s="4" customFormat="1" ht="42" customHeight="1">
      <c r="A27" s="1310"/>
      <c r="B27" s="38" t="s">
        <v>48</v>
      </c>
      <c r="C27" s="45" t="s">
        <v>25</v>
      </c>
      <c r="D27" s="48">
        <f>'приложение 1'!I12/'приложение 1'!G14</f>
        <v>0.5600027555800496</v>
      </c>
      <c r="E27" s="41">
        <f>'приложение 5'!F13/'приложение 1'!I12</f>
        <v>548.12</v>
      </c>
      <c r="F27" s="26" t="s">
        <v>241</v>
      </c>
      <c r="G27" s="41">
        <f>ROUND('приложение 5'!F13/'приложение 1'!G14,2)</f>
        <v>306.95</v>
      </c>
      <c r="H27" s="26" t="s">
        <v>241</v>
      </c>
      <c r="I27" s="213">
        <f>ROUNDDOWN('приложение 5'!F13/1000000,3)</f>
        <v>13.367</v>
      </c>
      <c r="J27" s="926" t="s">
        <v>241</v>
      </c>
    </row>
    <row r="28" spans="1:10" s="4" customFormat="1" ht="18" customHeight="1">
      <c r="A28" s="1311"/>
      <c r="B28" s="38" t="s">
        <v>49</v>
      </c>
      <c r="C28" s="45" t="s">
        <v>307</v>
      </c>
      <c r="D28" s="48">
        <f>'приложение 1'!G12/'приложение 1'!G14</f>
        <v>1.9799990814733168</v>
      </c>
      <c r="E28" s="41">
        <f>'приложение 5'!G13/'приложение 1'!G12</f>
        <v>1199.639785561032</v>
      </c>
      <c r="F28" s="26" t="s">
        <v>241</v>
      </c>
      <c r="G28" s="41">
        <f>ROUND('приложение 5'!G13/'приложение 1'!G14,2)</f>
        <v>2375.29</v>
      </c>
      <c r="H28" s="26" t="s">
        <v>241</v>
      </c>
      <c r="I28" s="213">
        <f>ROUND('приложение 5'!G13/1000000,3)</f>
        <v>103.439</v>
      </c>
      <c r="J28" s="926" t="s">
        <v>241</v>
      </c>
    </row>
    <row r="29" spans="1:10" s="4" customFormat="1" ht="21" customHeight="1">
      <c r="A29" s="34" t="s">
        <v>50</v>
      </c>
      <c r="B29" s="38" t="s">
        <v>51</v>
      </c>
      <c r="C29" s="34" t="s">
        <v>320</v>
      </c>
      <c r="D29" s="208">
        <f>'приложение 1'!L12/'приложение 1'!G14+0.00001</f>
        <v>0.17214190043170755</v>
      </c>
      <c r="E29" s="41">
        <f>'приложение 5'!H13/'приложение 1'!L12-1.27</f>
        <v>27234.051526147283</v>
      </c>
      <c r="F29" s="26" t="s">
        <v>241</v>
      </c>
      <c r="G29" s="41">
        <f>ROUND('приложение 5'!H13/'приложение 1'!G14,2)</f>
        <v>4688.07</v>
      </c>
      <c r="H29" s="26" t="s">
        <v>241</v>
      </c>
      <c r="I29" s="213">
        <f>ROUND('приложение 5'!H13/1000000,3)</f>
        <v>204.156</v>
      </c>
      <c r="J29" s="926" t="s">
        <v>241</v>
      </c>
    </row>
    <row r="30" spans="1:10" s="4" customFormat="1" ht="25.5" customHeight="1">
      <c r="A30" s="34" t="s">
        <v>52</v>
      </c>
      <c r="B30" s="38" t="s">
        <v>53</v>
      </c>
      <c r="C30" s="34" t="s">
        <v>308</v>
      </c>
      <c r="D30" s="47">
        <f>'приложение 1'!K12/'приложение 1'!G14</f>
        <v>0</v>
      </c>
      <c r="E30" s="41">
        <v>0</v>
      </c>
      <c r="F30" s="26" t="s">
        <v>241</v>
      </c>
      <c r="G30" s="41">
        <f>ROUND('приложение 5'!I13/'приложение 1'!G14,2)</f>
        <v>0</v>
      </c>
      <c r="H30" s="26" t="s">
        <v>241</v>
      </c>
      <c r="I30" s="213">
        <f>ROUND('приложение 5'!I13/1000000,1)</f>
        <v>0</v>
      </c>
      <c r="J30" s="926" t="s">
        <v>241</v>
      </c>
    </row>
    <row r="31" spans="1:10" s="4" customFormat="1" ht="21" customHeight="1">
      <c r="A31" s="35" t="s">
        <v>54</v>
      </c>
      <c r="B31" s="38" t="s">
        <v>55</v>
      </c>
      <c r="C31" s="34" t="s">
        <v>320</v>
      </c>
      <c r="D31" s="47">
        <v>0</v>
      </c>
      <c r="E31" s="41">
        <v>0</v>
      </c>
      <c r="F31" s="26" t="s">
        <v>241</v>
      </c>
      <c r="G31" s="41">
        <v>0</v>
      </c>
      <c r="H31" s="26" t="s">
        <v>241</v>
      </c>
      <c r="I31" s="213">
        <v>0</v>
      </c>
      <c r="J31" s="926" t="s">
        <v>241</v>
      </c>
    </row>
    <row r="32" spans="1:10" s="4" customFormat="1" ht="21" customHeight="1">
      <c r="A32" s="34" t="s">
        <v>309</v>
      </c>
      <c r="B32" s="38" t="s">
        <v>56</v>
      </c>
      <c r="C32" s="34" t="s">
        <v>83</v>
      </c>
      <c r="D32" s="47">
        <f>'приложение 1'!M12/'приложение 1'!G14</f>
        <v>0.0600027555800496</v>
      </c>
      <c r="E32" s="41">
        <f>'приложение 5'!J13/'приложение 1'!M12+0.52</f>
        <v>13643.834240336775</v>
      </c>
      <c r="F32" s="26" t="s">
        <v>241</v>
      </c>
      <c r="G32" s="41">
        <f>ROUND('приложение 5'!J13/'приложение 1'!G14,2)-0.01</f>
        <v>818.63</v>
      </c>
      <c r="H32" s="26" t="s">
        <v>241</v>
      </c>
      <c r="I32" s="213">
        <f>ROUND('приложение 5'!J13/1000000,3)</f>
        <v>35.65</v>
      </c>
      <c r="J32" s="926" t="s">
        <v>241</v>
      </c>
    </row>
    <row r="33" spans="1:10" s="4" customFormat="1" ht="28.5" customHeight="1">
      <c r="A33" s="33" t="s">
        <v>317</v>
      </c>
      <c r="B33" s="38" t="s">
        <v>57</v>
      </c>
      <c r="C33" s="38"/>
      <c r="D33" s="27" t="s">
        <v>241</v>
      </c>
      <c r="E33" s="26" t="s">
        <v>241</v>
      </c>
      <c r="F33" s="26" t="s">
        <v>241</v>
      </c>
      <c r="G33" s="41">
        <f>G34+G35+G36+G37+G38+G41+G42</f>
        <v>0</v>
      </c>
      <c r="H33" s="26" t="s">
        <v>241</v>
      </c>
      <c r="I33" s="213">
        <f>I34+I35+I36+I37+I38+I41+I42</f>
        <v>0</v>
      </c>
      <c r="J33" s="926"/>
    </row>
    <row r="34" spans="1:10" s="4" customFormat="1" ht="13.5" customHeight="1">
      <c r="A34" s="34" t="s">
        <v>255</v>
      </c>
      <c r="B34" s="38" t="s">
        <v>58</v>
      </c>
      <c r="C34" s="38" t="s">
        <v>306</v>
      </c>
      <c r="D34" s="47">
        <v>0</v>
      </c>
      <c r="E34" s="41">
        <v>0</v>
      </c>
      <c r="F34" s="26" t="s">
        <v>241</v>
      </c>
      <c r="G34" s="41">
        <v>0</v>
      </c>
      <c r="H34" s="26" t="s">
        <v>241</v>
      </c>
      <c r="I34" s="213">
        <v>0</v>
      </c>
      <c r="J34" s="926" t="s">
        <v>241</v>
      </c>
    </row>
    <row r="35" spans="1:10" s="4" customFormat="1" ht="41.25" customHeight="1">
      <c r="A35" s="1309" t="s">
        <v>19</v>
      </c>
      <c r="B35" s="38" t="s">
        <v>62</v>
      </c>
      <c r="C35" s="45" t="s">
        <v>23</v>
      </c>
      <c r="D35" s="47">
        <v>0</v>
      </c>
      <c r="E35" s="41">
        <v>0</v>
      </c>
      <c r="F35" s="26" t="s">
        <v>241</v>
      </c>
      <c r="G35" s="41">
        <v>0</v>
      </c>
      <c r="H35" s="26" t="s">
        <v>241</v>
      </c>
      <c r="I35" s="213">
        <v>0</v>
      </c>
      <c r="J35" s="926" t="s">
        <v>241</v>
      </c>
    </row>
    <row r="36" spans="1:10" s="4" customFormat="1" ht="50.25" customHeight="1">
      <c r="A36" s="1310"/>
      <c r="B36" s="38" t="s">
        <v>63</v>
      </c>
      <c r="C36" s="45" t="s">
        <v>25</v>
      </c>
      <c r="D36" s="47">
        <v>0</v>
      </c>
      <c r="E36" s="41">
        <v>0</v>
      </c>
      <c r="F36" s="26" t="s">
        <v>241</v>
      </c>
      <c r="G36" s="41">
        <v>0</v>
      </c>
      <c r="H36" s="26" t="s">
        <v>241</v>
      </c>
      <c r="I36" s="213">
        <v>0</v>
      </c>
      <c r="J36" s="926" t="s">
        <v>241</v>
      </c>
    </row>
    <row r="37" spans="1:10" s="4" customFormat="1" ht="13.5" customHeight="1">
      <c r="A37" s="1311"/>
      <c r="B37" s="38" t="s">
        <v>64</v>
      </c>
      <c r="C37" s="45" t="s">
        <v>307</v>
      </c>
      <c r="D37" s="47">
        <v>0</v>
      </c>
      <c r="E37" s="41">
        <v>0</v>
      </c>
      <c r="F37" s="26" t="s">
        <v>241</v>
      </c>
      <c r="G37" s="41">
        <v>0</v>
      </c>
      <c r="H37" s="26" t="s">
        <v>241</v>
      </c>
      <c r="I37" s="213">
        <v>0</v>
      </c>
      <c r="J37" s="926" t="s">
        <v>241</v>
      </c>
    </row>
    <row r="38" spans="1:10" s="4" customFormat="1" ht="26.25" customHeight="1">
      <c r="A38" s="34" t="s">
        <v>50</v>
      </c>
      <c r="B38" s="38" t="s">
        <v>65</v>
      </c>
      <c r="C38" s="34" t="s">
        <v>320</v>
      </c>
      <c r="D38" s="47">
        <v>0</v>
      </c>
      <c r="E38" s="41">
        <v>0</v>
      </c>
      <c r="F38" s="26" t="s">
        <v>241</v>
      </c>
      <c r="G38" s="41">
        <v>0</v>
      </c>
      <c r="H38" s="26" t="s">
        <v>241</v>
      </c>
      <c r="I38" s="213">
        <v>0</v>
      </c>
      <c r="J38" s="926" t="s">
        <v>241</v>
      </c>
    </row>
    <row r="39" spans="1:10" s="4" customFormat="1" ht="26.25" customHeight="1">
      <c r="A39" s="34" t="s">
        <v>66</v>
      </c>
      <c r="B39" s="38" t="s">
        <v>67</v>
      </c>
      <c r="C39" s="34" t="s">
        <v>308</v>
      </c>
      <c r="D39" s="47">
        <v>0</v>
      </c>
      <c r="E39" s="41">
        <v>0</v>
      </c>
      <c r="F39" s="26" t="s">
        <v>241</v>
      </c>
      <c r="G39" s="41">
        <v>0</v>
      </c>
      <c r="H39" s="26" t="s">
        <v>241</v>
      </c>
      <c r="I39" s="213">
        <v>0</v>
      </c>
      <c r="J39" s="926" t="s">
        <v>241</v>
      </c>
    </row>
    <row r="40" spans="1:10" s="4" customFormat="1" ht="20.25" customHeight="1">
      <c r="A40" s="35" t="s">
        <v>54</v>
      </c>
      <c r="B40" s="38" t="s">
        <v>68</v>
      </c>
      <c r="C40" s="34" t="s">
        <v>320</v>
      </c>
      <c r="D40" s="47">
        <v>0</v>
      </c>
      <c r="E40" s="41">
        <v>0</v>
      </c>
      <c r="F40" s="26" t="s">
        <v>241</v>
      </c>
      <c r="G40" s="41">
        <v>0</v>
      </c>
      <c r="H40" s="26" t="s">
        <v>241</v>
      </c>
      <c r="I40" s="213">
        <v>0</v>
      </c>
      <c r="J40" s="926" t="s">
        <v>241</v>
      </c>
    </row>
    <row r="41" spans="1:10" s="4" customFormat="1" ht="19.5" customHeight="1">
      <c r="A41" s="34" t="s">
        <v>309</v>
      </c>
      <c r="B41" s="38" t="s">
        <v>69</v>
      </c>
      <c r="C41" s="34" t="s">
        <v>83</v>
      </c>
      <c r="D41" s="47">
        <v>0</v>
      </c>
      <c r="E41" s="41">
        <v>0</v>
      </c>
      <c r="F41" s="26" t="s">
        <v>241</v>
      </c>
      <c r="G41" s="41">
        <v>0</v>
      </c>
      <c r="H41" s="26" t="s">
        <v>241</v>
      </c>
      <c r="I41" s="213">
        <v>0</v>
      </c>
      <c r="J41" s="926" t="s">
        <v>241</v>
      </c>
    </row>
    <row r="42" spans="1:10" s="31" customFormat="1" ht="20.25" customHeight="1">
      <c r="A42" s="34" t="s">
        <v>70</v>
      </c>
      <c r="B42" s="38" t="s">
        <v>71</v>
      </c>
      <c r="C42" s="34" t="s">
        <v>308</v>
      </c>
      <c r="D42" s="47">
        <v>0</v>
      </c>
      <c r="E42" s="41">
        <v>0</v>
      </c>
      <c r="F42" s="26" t="s">
        <v>241</v>
      </c>
      <c r="G42" s="41">
        <v>0</v>
      </c>
      <c r="H42" s="26" t="s">
        <v>241</v>
      </c>
      <c r="I42" s="213">
        <v>0</v>
      </c>
      <c r="J42" s="926" t="s">
        <v>241</v>
      </c>
    </row>
    <row r="43" spans="1:10" s="3" customFormat="1" ht="18.75" customHeight="1">
      <c r="A43" s="33" t="s">
        <v>72</v>
      </c>
      <c r="B43" s="37" t="s">
        <v>73</v>
      </c>
      <c r="C43" s="37"/>
      <c r="D43" s="42" t="s">
        <v>241</v>
      </c>
      <c r="E43" s="42" t="s">
        <v>241</v>
      </c>
      <c r="F43" s="40"/>
      <c r="G43" s="40">
        <f>G11</f>
        <v>10464.239999999998</v>
      </c>
      <c r="H43" s="42"/>
      <c r="I43" s="211">
        <f>I11</f>
        <v>455.697</v>
      </c>
      <c r="J43" s="42">
        <v>100</v>
      </c>
    </row>
    <row r="44" ht="10.5" customHeight="1"/>
    <row r="45" spans="1:10" ht="13.5" customHeight="1" hidden="1">
      <c r="A45" s="1312" t="s">
        <v>74</v>
      </c>
      <c r="B45" s="1312"/>
      <c r="C45" s="1312"/>
      <c r="D45" s="1312"/>
      <c r="E45" s="1312"/>
      <c r="F45" s="1312"/>
      <c r="G45" s="1312"/>
      <c r="H45" s="1312"/>
      <c r="I45" s="1312"/>
      <c r="J45" s="1312"/>
    </row>
    <row r="46" spans="1:10" ht="11.25" customHeight="1">
      <c r="A46" s="1300" t="s">
        <v>75</v>
      </c>
      <c r="B46" s="1300"/>
      <c r="C46" s="1300"/>
      <c r="D46" s="1300"/>
      <c r="E46" s="1300"/>
      <c r="F46" s="1300"/>
      <c r="G46" s="1300"/>
      <c r="H46" s="1300"/>
      <c r="I46" s="1300"/>
      <c r="J46" s="1300"/>
    </row>
    <row r="47" spans="1:10" ht="11.25" customHeight="1">
      <c r="A47" s="1300" t="s">
        <v>76</v>
      </c>
      <c r="B47" s="1300"/>
      <c r="C47" s="1300"/>
      <c r="D47" s="1300"/>
      <c r="E47" s="1300"/>
      <c r="F47" s="1300"/>
      <c r="G47" s="1300"/>
      <c r="H47" s="1300"/>
      <c r="I47" s="1300"/>
      <c r="J47" s="1300"/>
    </row>
    <row r="48" spans="1:10" ht="14.25" customHeight="1">
      <c r="A48" s="1308" t="s">
        <v>77</v>
      </c>
      <c r="B48" s="1308"/>
      <c r="C48" s="1308"/>
      <c r="D48" s="1308"/>
      <c r="E48" s="1308"/>
      <c r="F48" s="1308"/>
      <c r="G48" s="1308"/>
      <c r="H48" s="1308"/>
      <c r="I48" s="1308"/>
      <c r="J48" s="1308"/>
    </row>
  </sheetData>
  <sheetProtection/>
  <mergeCells count="21">
    <mergeCell ref="A46:J46"/>
    <mergeCell ref="B7:B9"/>
    <mergeCell ref="C7:C9"/>
    <mergeCell ref="F7:G7"/>
    <mergeCell ref="H8:I8"/>
    <mergeCell ref="J7:J9"/>
    <mergeCell ref="A48:J48"/>
    <mergeCell ref="A26:A28"/>
    <mergeCell ref="A35:A37"/>
    <mergeCell ref="A13:A15"/>
    <mergeCell ref="A45:J45"/>
    <mergeCell ref="H7:I7"/>
    <mergeCell ref="A47:J47"/>
    <mergeCell ref="G1:K1"/>
    <mergeCell ref="F8:G8"/>
    <mergeCell ref="E7:E9"/>
    <mergeCell ref="D7:D9"/>
    <mergeCell ref="A3:K3"/>
    <mergeCell ref="A4:K4"/>
    <mergeCell ref="A5:K5"/>
    <mergeCell ref="A7:A9"/>
  </mergeCells>
  <printOptions/>
  <pageMargins left="0" right="0" top="0.68" bottom="0.31" header="0.22" footer="0.2"/>
  <pageSetup fitToHeight="0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N30" sqref="N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J30"/>
  <sheetViews>
    <sheetView view="pageBreakPreview" zoomScaleSheetLayoutView="100" zoomScalePageLayoutView="0" workbookViewId="0" topLeftCell="A1">
      <selection activeCell="B1" sqref="B1:F16384"/>
    </sheetView>
  </sheetViews>
  <sheetFormatPr defaultColWidth="9.140625" defaultRowHeight="15"/>
  <cols>
    <col min="1" max="1" width="47.00390625" style="20" customWidth="1"/>
    <col min="2" max="5" width="7.8515625" style="20" hidden="1" customWidth="1"/>
    <col min="6" max="6" width="9.421875" style="61" hidden="1" customWidth="1"/>
    <col min="7" max="7" width="9.7109375" style="61" customWidth="1"/>
    <col min="8" max="8" width="9.421875" style="61" customWidth="1"/>
    <col min="9" max="10" width="9.57421875" style="61" customWidth="1"/>
    <col min="11" max="11" width="8.7109375" style="61" customWidth="1"/>
    <col min="12" max="12" width="12.28125" style="60" hidden="1" customWidth="1"/>
    <col min="13" max="13" width="17.28125" style="152" hidden="1" customWidth="1"/>
    <col min="14" max="14" width="9.421875" style="61" customWidth="1"/>
    <col min="15" max="15" width="9.57421875" style="61" customWidth="1"/>
    <col min="16" max="16" width="9.421875" style="61" customWidth="1"/>
    <col min="17" max="17" width="9.8515625" style="61" customWidth="1"/>
    <col min="18" max="18" width="9.28125" style="158" customWidth="1"/>
    <col min="19" max="19" width="10.8515625" style="158" customWidth="1"/>
    <col min="20" max="20" width="10.140625" style="158" customWidth="1"/>
    <col min="21" max="21" width="11.00390625" style="158" customWidth="1"/>
    <col min="22" max="22" width="11.28125" style="61" customWidth="1"/>
    <col min="23" max="23" width="11.140625" style="61" customWidth="1"/>
    <col min="24" max="24" width="15.8515625" style="61" customWidth="1"/>
    <col min="25" max="25" width="15.8515625" style="20" customWidth="1"/>
    <col min="26" max="26" width="12.7109375" style="20" customWidth="1"/>
    <col min="27" max="27" width="19.140625" style="20" customWidth="1"/>
    <col min="28" max="28" width="13.00390625" style="20" customWidth="1"/>
    <col min="29" max="29" width="13.8515625" style="20" customWidth="1"/>
    <col min="30" max="30" width="12.421875" style="20" customWidth="1"/>
    <col min="31" max="31" width="10.57421875" style="20" customWidth="1"/>
    <col min="32" max="16384" width="9.140625" style="20" customWidth="1"/>
  </cols>
  <sheetData>
    <row r="1" spans="1:23" ht="63" customHeight="1">
      <c r="A1" s="67"/>
      <c r="B1" s="67"/>
      <c r="C1" s="67"/>
      <c r="D1" s="67"/>
      <c r="E1" s="67"/>
      <c r="F1" s="68"/>
      <c r="G1" s="68"/>
      <c r="H1" s="68"/>
      <c r="I1" s="68"/>
      <c r="J1" s="68"/>
      <c r="K1" s="68"/>
      <c r="L1" s="69"/>
      <c r="M1" s="139"/>
      <c r="N1" s="68"/>
      <c r="O1" s="68"/>
      <c r="P1" s="68"/>
      <c r="Q1" s="68"/>
      <c r="R1" s="153"/>
      <c r="S1" s="964" t="s">
        <v>113</v>
      </c>
      <c r="T1" s="964"/>
      <c r="U1" s="964"/>
      <c r="V1" s="964"/>
      <c r="W1" s="964"/>
    </row>
    <row r="2" spans="1:23" ht="42.75" customHeight="1">
      <c r="A2" s="67"/>
      <c r="B2" s="67"/>
      <c r="C2" s="67"/>
      <c r="D2" s="67"/>
      <c r="E2" s="67"/>
      <c r="F2" s="68"/>
      <c r="G2" s="68"/>
      <c r="H2" s="68"/>
      <c r="I2" s="68"/>
      <c r="J2" s="68"/>
      <c r="K2" s="68"/>
      <c r="L2" s="69"/>
      <c r="M2" s="139"/>
      <c r="N2" s="68"/>
      <c r="O2" s="68"/>
      <c r="P2" s="68"/>
      <c r="Q2" s="68"/>
      <c r="R2" s="153"/>
      <c r="S2" s="153"/>
      <c r="T2" s="153"/>
      <c r="U2" s="153"/>
      <c r="V2" s="68"/>
      <c r="W2" s="68"/>
    </row>
    <row r="3" spans="1:23" ht="26.25" customHeight="1">
      <c r="A3" s="994" t="s">
        <v>313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</row>
    <row r="4" spans="1:23" ht="21" customHeight="1" thickBot="1">
      <c r="A4" s="67"/>
      <c r="B4" s="67"/>
      <c r="C4" s="67"/>
      <c r="D4" s="67"/>
      <c r="E4" s="67"/>
      <c r="F4" s="68"/>
      <c r="G4" s="68"/>
      <c r="H4" s="68"/>
      <c r="I4" s="68"/>
      <c r="J4" s="68"/>
      <c r="K4" s="68"/>
      <c r="L4" s="69"/>
      <c r="M4" s="139"/>
      <c r="N4" s="68"/>
      <c r="O4" s="68"/>
      <c r="P4" s="68"/>
      <c r="Q4" s="68"/>
      <c r="R4" s="153"/>
      <c r="S4" s="153"/>
      <c r="T4" s="153"/>
      <c r="U4" s="153"/>
      <c r="V4" s="68"/>
      <c r="W4" s="68"/>
    </row>
    <row r="5" spans="1:25" ht="30" customHeight="1" thickBot="1">
      <c r="A5" s="1007" t="s">
        <v>243</v>
      </c>
      <c r="B5" s="1002" t="s">
        <v>90</v>
      </c>
      <c r="C5" s="1002"/>
      <c r="D5" s="1002"/>
      <c r="E5" s="1002"/>
      <c r="F5" s="1011"/>
      <c r="G5" s="998" t="s">
        <v>240</v>
      </c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1000"/>
      <c r="S5" s="1001" t="s">
        <v>104</v>
      </c>
      <c r="T5" s="1002"/>
      <c r="U5" s="1002"/>
      <c r="V5" s="1002"/>
      <c r="W5" s="1003"/>
      <c r="X5" s="116"/>
      <c r="Y5" s="49"/>
    </row>
    <row r="6" spans="1:25" ht="77.25" customHeight="1" thickBot="1">
      <c r="A6" s="1008"/>
      <c r="B6" s="1012"/>
      <c r="C6" s="1012"/>
      <c r="D6" s="1012"/>
      <c r="E6" s="1012"/>
      <c r="F6" s="1013"/>
      <c r="G6" s="991" t="s">
        <v>95</v>
      </c>
      <c r="H6" s="992"/>
      <c r="I6" s="992"/>
      <c r="J6" s="992"/>
      <c r="K6" s="993"/>
      <c r="L6" s="117"/>
      <c r="M6" s="117"/>
      <c r="N6" s="995" t="s">
        <v>97</v>
      </c>
      <c r="O6" s="996"/>
      <c r="P6" s="996"/>
      <c r="Q6" s="996"/>
      <c r="R6" s="997"/>
      <c r="S6" s="1004"/>
      <c r="T6" s="1005"/>
      <c r="U6" s="1005"/>
      <c r="V6" s="1005"/>
      <c r="W6" s="1006"/>
      <c r="X6" s="116"/>
      <c r="Y6" s="49"/>
    </row>
    <row r="7" spans="1:25" ht="29.25" customHeight="1">
      <c r="A7" s="1009"/>
      <c r="B7" s="1012" t="s">
        <v>250</v>
      </c>
      <c r="C7" s="1012"/>
      <c r="D7" s="1012"/>
      <c r="E7" s="1012"/>
      <c r="F7" s="1014" t="s">
        <v>86</v>
      </c>
      <c r="G7" s="982" t="s">
        <v>250</v>
      </c>
      <c r="H7" s="983"/>
      <c r="I7" s="983"/>
      <c r="J7" s="984"/>
      <c r="K7" s="987" t="s">
        <v>86</v>
      </c>
      <c r="L7" s="118"/>
      <c r="M7" s="118"/>
      <c r="N7" s="982" t="s">
        <v>250</v>
      </c>
      <c r="O7" s="983"/>
      <c r="P7" s="983"/>
      <c r="Q7" s="984"/>
      <c r="R7" s="985" t="s">
        <v>86</v>
      </c>
      <c r="S7" s="1001" t="s">
        <v>250</v>
      </c>
      <c r="T7" s="1002"/>
      <c r="U7" s="1002"/>
      <c r="V7" s="1011"/>
      <c r="W7" s="989" t="s">
        <v>86</v>
      </c>
      <c r="X7" s="116"/>
      <c r="Y7" s="49"/>
    </row>
    <row r="8" spans="1:25" ht="77.25" customHeight="1" thickBot="1">
      <c r="A8" s="1010"/>
      <c r="B8" s="119" t="s">
        <v>272</v>
      </c>
      <c r="C8" s="119" t="s">
        <v>273</v>
      </c>
      <c r="D8" s="119" t="s">
        <v>274</v>
      </c>
      <c r="E8" s="119" t="s">
        <v>98</v>
      </c>
      <c r="F8" s="1015"/>
      <c r="G8" s="941" t="s">
        <v>272</v>
      </c>
      <c r="H8" s="942" t="s">
        <v>273</v>
      </c>
      <c r="I8" s="942" t="s">
        <v>274</v>
      </c>
      <c r="J8" s="943" t="s">
        <v>98</v>
      </c>
      <c r="K8" s="988"/>
      <c r="L8" s="130"/>
      <c r="M8" s="131"/>
      <c r="N8" s="939" t="s">
        <v>272</v>
      </c>
      <c r="O8" s="940" t="s">
        <v>273</v>
      </c>
      <c r="P8" s="940" t="s">
        <v>274</v>
      </c>
      <c r="Q8" s="938" t="s">
        <v>98</v>
      </c>
      <c r="R8" s="986"/>
      <c r="S8" s="936" t="s">
        <v>272</v>
      </c>
      <c r="T8" s="937" t="s">
        <v>273</v>
      </c>
      <c r="U8" s="937" t="s">
        <v>274</v>
      </c>
      <c r="V8" s="938" t="s">
        <v>98</v>
      </c>
      <c r="W8" s="990"/>
      <c r="X8" s="116"/>
      <c r="Y8" s="49"/>
    </row>
    <row r="9" spans="1:26" ht="35.25" customHeight="1">
      <c r="A9" s="127" t="s">
        <v>99</v>
      </c>
      <c r="B9" s="128">
        <v>36</v>
      </c>
      <c r="C9" s="128">
        <v>36</v>
      </c>
      <c r="D9" s="128">
        <v>36</v>
      </c>
      <c r="E9" s="128">
        <v>37</v>
      </c>
      <c r="F9" s="129">
        <f>B9+C9+D9+E9</f>
        <v>145</v>
      </c>
      <c r="G9" s="163">
        <v>104</v>
      </c>
      <c r="H9" s="164">
        <v>105</v>
      </c>
      <c r="I9" s="164">
        <v>105</v>
      </c>
      <c r="J9" s="671">
        <v>105</v>
      </c>
      <c r="K9" s="668">
        <f>J9+I9+H9+G9</f>
        <v>419</v>
      </c>
      <c r="L9" s="160">
        <f>2086.2</f>
        <v>2086.2</v>
      </c>
      <c r="M9" s="141">
        <f>K9*L9</f>
        <v>874117.7999999999</v>
      </c>
      <c r="N9" s="140">
        <v>3125</v>
      </c>
      <c r="O9" s="140">
        <v>3125</v>
      </c>
      <c r="P9" s="140">
        <v>3125</v>
      </c>
      <c r="Q9" s="175">
        <v>3125</v>
      </c>
      <c r="R9" s="704">
        <f>Q9+P9+O9+N9</f>
        <v>12500</v>
      </c>
      <c r="S9" s="165">
        <f>G9+N9</f>
        <v>3229</v>
      </c>
      <c r="T9" s="166">
        <f>H9+O9</f>
        <v>3230</v>
      </c>
      <c r="U9" s="166">
        <f>I9+P9</f>
        <v>3230</v>
      </c>
      <c r="V9" s="169">
        <f>J9+Q9</f>
        <v>3230</v>
      </c>
      <c r="W9" s="172">
        <f>K9+R9</f>
        <v>12919</v>
      </c>
      <c r="X9" s="116"/>
      <c r="Y9" s="49"/>
      <c r="Z9" s="29"/>
    </row>
    <row r="10" spans="1:25" ht="24.75" customHeight="1">
      <c r="A10" s="93" t="s">
        <v>276</v>
      </c>
      <c r="B10" s="72"/>
      <c r="C10" s="72"/>
      <c r="D10" s="72"/>
      <c r="E10" s="72"/>
      <c r="F10" s="126">
        <f aca="true" t="shared" si="0" ref="F10:F20">B10+C10+D10+E10</f>
        <v>0</v>
      </c>
      <c r="G10" s="142"/>
      <c r="H10" s="74"/>
      <c r="I10" s="74"/>
      <c r="J10" s="672"/>
      <c r="K10" s="669"/>
      <c r="L10" s="161"/>
      <c r="M10" s="143"/>
      <c r="N10" s="74"/>
      <c r="O10" s="74"/>
      <c r="P10" s="74"/>
      <c r="Q10" s="170"/>
      <c r="R10" s="705"/>
      <c r="S10" s="167"/>
      <c r="T10" s="154"/>
      <c r="U10" s="154"/>
      <c r="V10" s="177"/>
      <c r="W10" s="173"/>
      <c r="X10" s="116"/>
      <c r="Y10" s="49"/>
    </row>
    <row r="11" spans="1:36" ht="34.5" customHeight="1">
      <c r="A11" s="94" t="s">
        <v>106</v>
      </c>
      <c r="B11" s="125" t="s">
        <v>101</v>
      </c>
      <c r="C11" s="125" t="s">
        <v>101</v>
      </c>
      <c r="D11" s="125" t="s">
        <v>101</v>
      </c>
      <c r="E11" s="125" t="s">
        <v>102</v>
      </c>
      <c r="F11" s="126">
        <f t="shared" si="0"/>
        <v>2765</v>
      </c>
      <c r="G11" s="707">
        <v>558</v>
      </c>
      <c r="H11" s="74">
        <v>558</v>
      </c>
      <c r="I11" s="74">
        <v>558</v>
      </c>
      <c r="J11" s="708">
        <v>559</v>
      </c>
      <c r="K11" s="669">
        <f aca="true" t="shared" si="1" ref="K11:K20">J11+I11+H11+G11</f>
        <v>2233</v>
      </c>
      <c r="L11" s="161">
        <v>428.17</v>
      </c>
      <c r="M11" s="143">
        <f>K11*L11</f>
        <v>956103.61</v>
      </c>
      <c r="N11" s="74">
        <v>24335</v>
      </c>
      <c r="O11" s="74">
        <v>24335</v>
      </c>
      <c r="P11" s="74">
        <v>24335</v>
      </c>
      <c r="Q11" s="74">
        <v>24335</v>
      </c>
      <c r="R11" s="705">
        <f aca="true" t="shared" si="2" ref="R11:R20">Q11+P11+O11+N11</f>
        <v>97340</v>
      </c>
      <c r="S11" s="167">
        <f>G11+N11</f>
        <v>24893</v>
      </c>
      <c r="T11" s="154">
        <f>H11+O11</f>
        <v>24893</v>
      </c>
      <c r="U11" s="154">
        <f>I11+P11</f>
        <v>24893</v>
      </c>
      <c r="V11" s="177">
        <f>J11+Q11</f>
        <v>24894</v>
      </c>
      <c r="W11" s="173">
        <f>K11+R11</f>
        <v>99573</v>
      </c>
      <c r="X11" s="116"/>
      <c r="Y11" s="49"/>
      <c r="Z11" s="29"/>
      <c r="AA11" s="49"/>
      <c r="AB11" s="49"/>
      <c r="AC11" s="49"/>
      <c r="AD11" s="49"/>
      <c r="AJ11" s="50"/>
    </row>
    <row r="12" spans="1:36" ht="21.75" customHeight="1" hidden="1">
      <c r="A12" s="95" t="s">
        <v>250</v>
      </c>
      <c r="B12" s="12"/>
      <c r="C12" s="12"/>
      <c r="D12" s="12"/>
      <c r="E12" s="12"/>
      <c r="F12" s="126">
        <f t="shared" si="0"/>
        <v>0</v>
      </c>
      <c r="G12" s="142"/>
      <c r="H12" s="74"/>
      <c r="I12" s="74"/>
      <c r="J12" s="672"/>
      <c r="K12" s="669"/>
      <c r="L12" s="161"/>
      <c r="M12" s="143"/>
      <c r="N12" s="74"/>
      <c r="O12" s="74"/>
      <c r="P12" s="74"/>
      <c r="Q12" s="170"/>
      <c r="R12" s="705">
        <f t="shared" si="2"/>
        <v>0</v>
      </c>
      <c r="S12" s="167"/>
      <c r="T12" s="154"/>
      <c r="U12" s="154"/>
      <c r="V12" s="178"/>
      <c r="W12" s="176"/>
      <c r="X12" s="116"/>
      <c r="Y12" s="49"/>
      <c r="Z12" s="29"/>
      <c r="AA12" s="49"/>
      <c r="AB12" s="49"/>
      <c r="AC12" s="49"/>
      <c r="AD12" s="49"/>
      <c r="AJ12" s="50"/>
    </row>
    <row r="13" spans="1:36" ht="30" customHeight="1" hidden="1">
      <c r="A13" s="94" t="s">
        <v>93</v>
      </c>
      <c r="B13" s="120"/>
      <c r="C13" s="120"/>
      <c r="D13" s="120"/>
      <c r="E13" s="120"/>
      <c r="F13" s="126">
        <f t="shared" si="0"/>
        <v>0</v>
      </c>
      <c r="G13" s="142"/>
      <c r="H13" s="74"/>
      <c r="I13" s="74"/>
      <c r="J13" s="672"/>
      <c r="K13" s="669"/>
      <c r="L13" s="161"/>
      <c r="M13" s="143"/>
      <c r="N13" s="74">
        <v>8416</v>
      </c>
      <c r="O13" s="74">
        <v>8417</v>
      </c>
      <c r="P13" s="74">
        <v>8417</v>
      </c>
      <c r="Q13" s="170">
        <v>8417</v>
      </c>
      <c r="R13" s="705">
        <f t="shared" si="2"/>
        <v>33667</v>
      </c>
      <c r="S13" s="167">
        <f aca="true" t="shared" si="3" ref="S13:V16">G13+N13</f>
        <v>8416</v>
      </c>
      <c r="T13" s="154">
        <f t="shared" si="3"/>
        <v>8417</v>
      </c>
      <c r="U13" s="154">
        <f t="shared" si="3"/>
        <v>8417</v>
      </c>
      <c r="V13" s="170">
        <f t="shared" si="3"/>
        <v>8417</v>
      </c>
      <c r="W13" s="173">
        <f>K13+R13</f>
        <v>33667</v>
      </c>
      <c r="X13" s="116"/>
      <c r="Y13" s="49"/>
      <c r="Z13" s="29"/>
      <c r="AA13" s="49"/>
      <c r="AB13" s="49"/>
      <c r="AC13" s="49"/>
      <c r="AD13" s="49"/>
      <c r="AJ13" s="50"/>
    </row>
    <row r="14" spans="1:36" ht="30" customHeight="1" hidden="1">
      <c r="A14" s="96" t="s">
        <v>94</v>
      </c>
      <c r="B14" s="121"/>
      <c r="C14" s="121"/>
      <c r="D14" s="121"/>
      <c r="E14" s="121"/>
      <c r="F14" s="126">
        <f t="shared" si="0"/>
        <v>0</v>
      </c>
      <c r="G14" s="142"/>
      <c r="H14" s="74"/>
      <c r="I14" s="74"/>
      <c r="J14" s="672"/>
      <c r="K14" s="669"/>
      <c r="L14" s="161"/>
      <c r="M14" s="143"/>
      <c r="N14" s="74">
        <v>15910</v>
      </c>
      <c r="O14" s="74">
        <v>15910</v>
      </c>
      <c r="P14" s="74">
        <v>15910</v>
      </c>
      <c r="Q14" s="74">
        <v>15910</v>
      </c>
      <c r="R14" s="705">
        <f t="shared" si="2"/>
        <v>63640</v>
      </c>
      <c r="S14" s="167">
        <f t="shared" si="3"/>
        <v>15910</v>
      </c>
      <c r="T14" s="154">
        <f t="shared" si="3"/>
        <v>15910</v>
      </c>
      <c r="U14" s="154">
        <f t="shared" si="3"/>
        <v>15910</v>
      </c>
      <c r="V14" s="177">
        <f t="shared" si="3"/>
        <v>15910</v>
      </c>
      <c r="W14" s="173">
        <f>K14+R14</f>
        <v>63640</v>
      </c>
      <c r="X14" s="116"/>
      <c r="Y14" s="49"/>
      <c r="Z14" s="29"/>
      <c r="AA14" s="49"/>
      <c r="AB14" s="49"/>
      <c r="AC14" s="49"/>
      <c r="AD14" s="49"/>
      <c r="AJ14" s="50"/>
    </row>
    <row r="15" spans="1:36" ht="36.75" customHeight="1">
      <c r="A15" s="94" t="s">
        <v>111</v>
      </c>
      <c r="B15" s="120"/>
      <c r="C15" s="120"/>
      <c r="D15" s="120"/>
      <c r="E15" s="120"/>
      <c r="F15" s="126">
        <f t="shared" si="0"/>
        <v>0</v>
      </c>
      <c r="G15" s="142">
        <v>96</v>
      </c>
      <c r="H15" s="74">
        <v>97</v>
      </c>
      <c r="I15" s="74">
        <v>97</v>
      </c>
      <c r="J15" s="672">
        <v>97</v>
      </c>
      <c r="K15" s="669">
        <f t="shared" si="1"/>
        <v>387</v>
      </c>
      <c r="L15" s="161">
        <v>548.12</v>
      </c>
      <c r="M15" s="143">
        <f>K15*L15</f>
        <v>212122.44</v>
      </c>
      <c r="N15" s="74">
        <v>6000</v>
      </c>
      <c r="O15" s="74">
        <v>6000</v>
      </c>
      <c r="P15" s="74">
        <v>6000</v>
      </c>
      <c r="Q15" s="170">
        <v>6000</v>
      </c>
      <c r="R15" s="705">
        <f t="shared" si="2"/>
        <v>24000</v>
      </c>
      <c r="S15" s="167">
        <f t="shared" si="3"/>
        <v>6096</v>
      </c>
      <c r="T15" s="154">
        <f t="shared" si="3"/>
        <v>6097</v>
      </c>
      <c r="U15" s="154">
        <f t="shared" si="3"/>
        <v>6097</v>
      </c>
      <c r="V15" s="170">
        <f t="shared" si="3"/>
        <v>6097</v>
      </c>
      <c r="W15" s="173">
        <f>K15+R15</f>
        <v>24387</v>
      </c>
      <c r="X15" s="116"/>
      <c r="Y15" s="49"/>
      <c r="Z15" s="29"/>
      <c r="AA15" s="49"/>
      <c r="AB15" s="49"/>
      <c r="AC15" s="49"/>
      <c r="AD15" s="49"/>
      <c r="AJ15" s="50"/>
    </row>
    <row r="16" spans="1:36" ht="33" customHeight="1">
      <c r="A16" s="94" t="s">
        <v>105</v>
      </c>
      <c r="B16" s="120" t="s">
        <v>103</v>
      </c>
      <c r="C16" s="120" t="s">
        <v>103</v>
      </c>
      <c r="D16" s="120" t="s">
        <v>103</v>
      </c>
      <c r="E16" s="120" t="s">
        <v>103</v>
      </c>
      <c r="F16" s="126">
        <f t="shared" si="0"/>
        <v>1400</v>
      </c>
      <c r="G16" s="142">
        <v>338</v>
      </c>
      <c r="H16" s="74">
        <v>338</v>
      </c>
      <c r="I16" s="74">
        <v>339</v>
      </c>
      <c r="J16" s="672">
        <v>340</v>
      </c>
      <c r="K16" s="669">
        <f t="shared" si="1"/>
        <v>1355</v>
      </c>
      <c r="L16" s="161">
        <v>1199.64</v>
      </c>
      <c r="M16" s="143">
        <f>K16*L16</f>
        <v>1625512.2000000002</v>
      </c>
      <c r="N16" s="74">
        <v>20867</v>
      </c>
      <c r="O16" s="74">
        <v>20867</v>
      </c>
      <c r="P16" s="74">
        <v>20868</v>
      </c>
      <c r="Q16" s="74">
        <v>20868</v>
      </c>
      <c r="R16" s="705">
        <f t="shared" si="2"/>
        <v>83470</v>
      </c>
      <c r="S16" s="167">
        <f t="shared" si="3"/>
        <v>21205</v>
      </c>
      <c r="T16" s="154">
        <f t="shared" si="3"/>
        <v>21205</v>
      </c>
      <c r="U16" s="154">
        <f t="shared" si="3"/>
        <v>21207</v>
      </c>
      <c r="V16" s="170">
        <f t="shared" si="3"/>
        <v>21208</v>
      </c>
      <c r="W16" s="173">
        <f>K16+R16</f>
        <v>84825</v>
      </c>
      <c r="X16" s="116"/>
      <c r="Y16" s="49"/>
      <c r="Z16" s="29"/>
      <c r="AA16" s="49"/>
      <c r="AB16" s="49"/>
      <c r="AC16" s="49"/>
      <c r="AD16" s="49"/>
      <c r="AJ16" s="50"/>
    </row>
    <row r="17" spans="1:36" ht="41.25" customHeight="1">
      <c r="A17" s="96" t="s">
        <v>245</v>
      </c>
      <c r="B17" s="121"/>
      <c r="C17" s="121"/>
      <c r="D17" s="121"/>
      <c r="E17" s="121"/>
      <c r="F17" s="126">
        <f t="shared" si="0"/>
        <v>0</v>
      </c>
      <c r="G17" s="142"/>
      <c r="H17" s="74"/>
      <c r="I17" s="74"/>
      <c r="J17" s="672"/>
      <c r="K17" s="669"/>
      <c r="L17" s="161"/>
      <c r="M17" s="143"/>
      <c r="N17" s="74"/>
      <c r="O17" s="74"/>
      <c r="P17" s="74"/>
      <c r="Q17" s="170"/>
      <c r="R17" s="705"/>
      <c r="S17" s="167"/>
      <c r="T17" s="154"/>
      <c r="U17" s="154"/>
      <c r="V17" s="178"/>
      <c r="W17" s="176"/>
      <c r="X17" s="116"/>
      <c r="Y17" s="49"/>
      <c r="Z17" s="29"/>
      <c r="AA17" s="49"/>
      <c r="AB17" s="49"/>
      <c r="AC17" s="49"/>
      <c r="AD17" s="49"/>
      <c r="AJ17" s="50"/>
    </row>
    <row r="18" spans="1:30" ht="39.75" customHeight="1">
      <c r="A18" s="98" t="s">
        <v>92</v>
      </c>
      <c r="B18" s="122">
        <v>105</v>
      </c>
      <c r="C18" s="122">
        <v>105</v>
      </c>
      <c r="D18" s="122">
        <v>105</v>
      </c>
      <c r="E18" s="122">
        <v>106</v>
      </c>
      <c r="F18" s="126">
        <f t="shared" si="0"/>
        <v>421</v>
      </c>
      <c r="G18" s="142">
        <v>64</v>
      </c>
      <c r="H18" s="74">
        <v>65</v>
      </c>
      <c r="I18" s="74">
        <v>65</v>
      </c>
      <c r="J18" s="672">
        <v>65</v>
      </c>
      <c r="K18" s="669">
        <f t="shared" si="1"/>
        <v>259</v>
      </c>
      <c r="L18" s="161">
        <v>27234.05</v>
      </c>
      <c r="M18" s="143">
        <f>K18*L18</f>
        <v>7053618.95</v>
      </c>
      <c r="N18" s="74">
        <v>1704</v>
      </c>
      <c r="O18" s="74">
        <v>1704</v>
      </c>
      <c r="P18" s="74">
        <v>1704</v>
      </c>
      <c r="Q18" s="170">
        <v>1704</v>
      </c>
      <c r="R18" s="705">
        <f t="shared" si="2"/>
        <v>6816</v>
      </c>
      <c r="S18" s="167">
        <f>G18+N18</f>
        <v>1768</v>
      </c>
      <c r="T18" s="154">
        <f>H18+O18</f>
        <v>1769</v>
      </c>
      <c r="U18" s="154">
        <f>I18+P18</f>
        <v>1769</v>
      </c>
      <c r="V18" s="170">
        <f>J18+Q18</f>
        <v>1769</v>
      </c>
      <c r="W18" s="173">
        <f>K18+R18</f>
        <v>7075</v>
      </c>
      <c r="X18" s="116"/>
      <c r="Y18" s="49"/>
      <c r="Z18" s="49"/>
      <c r="AA18" s="49"/>
      <c r="AB18" s="49"/>
      <c r="AC18" s="49"/>
      <c r="AD18" s="49"/>
    </row>
    <row r="19" spans="1:30" ht="21.75" customHeight="1">
      <c r="A19" s="92" t="s">
        <v>283</v>
      </c>
      <c r="B19" s="123"/>
      <c r="C19" s="123"/>
      <c r="D19" s="123"/>
      <c r="E19" s="123"/>
      <c r="F19" s="126"/>
      <c r="G19" s="142"/>
      <c r="H19" s="74"/>
      <c r="I19" s="74"/>
      <c r="J19" s="672"/>
      <c r="K19" s="669"/>
      <c r="L19" s="161"/>
      <c r="M19" s="143"/>
      <c r="N19" s="74"/>
      <c r="O19" s="74"/>
      <c r="P19" s="74"/>
      <c r="Q19" s="170"/>
      <c r="R19" s="705"/>
      <c r="S19" s="167"/>
      <c r="T19" s="154"/>
      <c r="U19" s="154"/>
      <c r="V19" s="178"/>
      <c r="W19" s="176"/>
      <c r="X19" s="116"/>
      <c r="Y19" s="49"/>
      <c r="Z19" s="49"/>
      <c r="AA19" s="49"/>
      <c r="AB19" s="49"/>
      <c r="AC19" s="49"/>
      <c r="AD19" s="49"/>
    </row>
    <row r="20" spans="1:30" ht="29.25" customHeight="1" thickBot="1">
      <c r="A20" s="97" t="s">
        <v>100</v>
      </c>
      <c r="B20" s="136">
        <v>6</v>
      </c>
      <c r="C20" s="137">
        <v>7</v>
      </c>
      <c r="D20" s="137">
        <v>7</v>
      </c>
      <c r="E20" s="137">
        <v>7</v>
      </c>
      <c r="F20" s="138">
        <f t="shared" si="0"/>
        <v>27</v>
      </c>
      <c r="G20" s="144">
        <v>23</v>
      </c>
      <c r="H20" s="145">
        <v>23</v>
      </c>
      <c r="I20" s="145">
        <v>23</v>
      </c>
      <c r="J20" s="673">
        <v>23</v>
      </c>
      <c r="K20" s="670">
        <f t="shared" si="1"/>
        <v>92</v>
      </c>
      <c r="L20" s="162">
        <v>13643.83</v>
      </c>
      <c r="M20" s="146">
        <f>K20*L20</f>
        <v>1255232.36</v>
      </c>
      <c r="N20" s="145">
        <v>623</v>
      </c>
      <c r="O20" s="145">
        <v>623</v>
      </c>
      <c r="P20" s="145">
        <v>624</v>
      </c>
      <c r="Q20" s="145">
        <v>624</v>
      </c>
      <c r="R20" s="706">
        <f t="shared" si="2"/>
        <v>2494</v>
      </c>
      <c r="S20" s="168">
        <f>G20+N20</f>
        <v>646</v>
      </c>
      <c r="T20" s="155">
        <f>H20+O20</f>
        <v>646</v>
      </c>
      <c r="U20" s="155">
        <f>I20+P20</f>
        <v>647</v>
      </c>
      <c r="V20" s="171">
        <f>J20+Q20</f>
        <v>647</v>
      </c>
      <c r="W20" s="174">
        <f>K20+R20</f>
        <v>2586</v>
      </c>
      <c r="X20" s="116"/>
      <c r="Y20" s="49"/>
      <c r="Z20" s="49"/>
      <c r="AA20" s="49"/>
      <c r="AB20" s="49"/>
      <c r="AC20" s="49"/>
      <c r="AD20" s="49"/>
    </row>
    <row r="21" spans="1:30" ht="32.25" customHeight="1" hidden="1" thickBot="1">
      <c r="A21" s="132" t="s">
        <v>86</v>
      </c>
      <c r="B21" s="124"/>
      <c r="C21" s="124"/>
      <c r="D21" s="124"/>
      <c r="E21" s="124"/>
      <c r="F21" s="133"/>
      <c r="G21" s="147"/>
      <c r="H21" s="134"/>
      <c r="I21" s="134"/>
      <c r="J21" s="134"/>
      <c r="K21" s="134"/>
      <c r="L21" s="135">
        <v>12000000</v>
      </c>
      <c r="M21" s="148">
        <f>SUM(M9:M20)</f>
        <v>11976707.36</v>
      </c>
      <c r="N21" s="134"/>
      <c r="O21" s="134"/>
      <c r="P21" s="134"/>
      <c r="Q21" s="134"/>
      <c r="R21" s="135"/>
      <c r="S21" s="135"/>
      <c r="T21" s="135"/>
      <c r="U21" s="135"/>
      <c r="V21" s="134"/>
      <c r="W21" s="134"/>
      <c r="X21" s="116"/>
      <c r="Y21" s="49"/>
      <c r="Z21" s="49"/>
      <c r="AA21" s="49"/>
      <c r="AB21" s="49"/>
      <c r="AC21" s="49"/>
      <c r="AD21" s="49"/>
    </row>
    <row r="22" spans="1:30" ht="20.25" customHeight="1">
      <c r="A22" s="76"/>
      <c r="B22" s="76"/>
      <c r="C22" s="76"/>
      <c r="D22" s="76"/>
      <c r="E22" s="76"/>
      <c r="F22" s="77"/>
      <c r="G22" s="79"/>
      <c r="H22" s="79"/>
      <c r="I22" s="79"/>
      <c r="J22" s="79"/>
      <c r="K22" s="79"/>
      <c r="L22" s="80"/>
      <c r="M22" s="149">
        <f>L21-M21</f>
        <v>23292.640000000596</v>
      </c>
      <c r="N22" s="79"/>
      <c r="O22" s="79"/>
      <c r="P22" s="79"/>
      <c r="Q22" s="79"/>
      <c r="R22" s="156"/>
      <c r="S22" s="156"/>
      <c r="T22" s="156"/>
      <c r="U22" s="156"/>
      <c r="V22" s="79"/>
      <c r="W22" s="79"/>
      <c r="X22" s="116"/>
      <c r="Y22" s="49"/>
      <c r="Z22" s="49"/>
      <c r="AA22" s="49"/>
      <c r="AB22" s="49"/>
      <c r="AC22" s="49"/>
      <c r="AD22" s="49"/>
    </row>
    <row r="23" spans="1:30" ht="20.25" customHeight="1">
      <c r="A23" s="76"/>
      <c r="B23" s="76"/>
      <c r="C23" s="76"/>
      <c r="D23" s="76"/>
      <c r="E23" s="76"/>
      <c r="F23" s="77"/>
      <c r="G23" s="79"/>
      <c r="H23" s="79"/>
      <c r="I23" s="79"/>
      <c r="J23" s="79"/>
      <c r="K23" s="79"/>
      <c r="L23" s="80"/>
      <c r="M23" s="150"/>
      <c r="N23" s="79"/>
      <c r="O23" s="79"/>
      <c r="P23" s="79"/>
      <c r="Q23" s="79"/>
      <c r="R23" s="156"/>
      <c r="S23" s="156"/>
      <c r="T23" s="156"/>
      <c r="U23" s="156"/>
      <c r="V23" s="79"/>
      <c r="W23" s="79"/>
      <c r="X23" s="116"/>
      <c r="Y23" s="49"/>
      <c r="Z23" s="49"/>
      <c r="AA23" s="49"/>
      <c r="AB23" s="49"/>
      <c r="AC23" s="49"/>
      <c r="AD23" s="49"/>
    </row>
    <row r="24" spans="1:30" ht="20.25" customHeight="1">
      <c r="A24" s="76"/>
      <c r="B24" s="76"/>
      <c r="C24" s="76"/>
      <c r="D24" s="76"/>
      <c r="E24" s="76"/>
      <c r="F24" s="77"/>
      <c r="G24" s="79"/>
      <c r="H24" s="79"/>
      <c r="I24" s="79"/>
      <c r="J24" s="79"/>
      <c r="K24" s="79"/>
      <c r="L24" s="80"/>
      <c r="M24" s="150"/>
      <c r="N24" s="79"/>
      <c r="O24" s="79"/>
      <c r="P24" s="79"/>
      <c r="Q24" s="79"/>
      <c r="R24" s="156"/>
      <c r="S24" s="156"/>
      <c r="T24" s="156"/>
      <c r="U24" s="156"/>
      <c r="V24" s="79"/>
      <c r="W24" s="79"/>
      <c r="X24" s="116"/>
      <c r="Y24" s="49"/>
      <c r="Z24" s="49"/>
      <c r="AA24" s="49"/>
      <c r="AB24" s="49"/>
      <c r="AC24" s="49"/>
      <c r="AD24" s="49"/>
    </row>
    <row r="25" spans="1:30" ht="20.25" customHeight="1">
      <c r="A25" s="23"/>
      <c r="B25" s="23"/>
      <c r="C25" s="23"/>
      <c r="D25" s="23"/>
      <c r="E25" s="23"/>
      <c r="F25" s="65"/>
      <c r="G25" s="64"/>
      <c r="H25" s="64"/>
      <c r="I25" s="64"/>
      <c r="J25" s="64"/>
      <c r="K25" s="64"/>
      <c r="L25" s="66"/>
      <c r="M25" s="151"/>
      <c r="N25" s="64"/>
      <c r="O25" s="64"/>
      <c r="P25" s="64"/>
      <c r="Q25" s="64"/>
      <c r="R25" s="157"/>
      <c r="S25" s="157"/>
      <c r="T25" s="157"/>
      <c r="U25" s="157"/>
      <c r="V25" s="64"/>
      <c r="W25" s="64"/>
      <c r="X25" s="116"/>
      <c r="Y25" s="49"/>
      <c r="Z25" s="49"/>
      <c r="AA25" s="49"/>
      <c r="AB25" s="49"/>
      <c r="AC25" s="49"/>
      <c r="AD25" s="49"/>
    </row>
    <row r="26" spans="1:30" ht="20.25" customHeight="1">
      <c r="A26" s="23"/>
      <c r="B26" s="23"/>
      <c r="C26" s="23"/>
      <c r="D26" s="23"/>
      <c r="E26" s="23"/>
      <c r="F26" s="65"/>
      <c r="G26" s="64"/>
      <c r="H26" s="64"/>
      <c r="I26" s="64"/>
      <c r="J26" s="64"/>
      <c r="K26" s="64"/>
      <c r="L26" s="66"/>
      <c r="M26" s="151"/>
      <c r="N26" s="64"/>
      <c r="O26" s="64"/>
      <c r="P26" s="64"/>
      <c r="Q26" s="64"/>
      <c r="R26" s="157"/>
      <c r="S26" s="157"/>
      <c r="T26" s="157"/>
      <c r="U26" s="157"/>
      <c r="V26" s="64"/>
      <c r="W26" s="64"/>
      <c r="X26" s="116"/>
      <c r="Y26" s="49"/>
      <c r="Z26" s="49"/>
      <c r="AA26" s="49"/>
      <c r="AB26" s="49"/>
      <c r="AC26" s="49"/>
      <c r="AD26" s="49"/>
    </row>
    <row r="27" spans="1:30" ht="20.25" customHeight="1">
      <c r="A27" s="23"/>
      <c r="B27" s="23"/>
      <c r="C27" s="23"/>
      <c r="D27" s="23"/>
      <c r="E27" s="23"/>
      <c r="F27" s="65"/>
      <c r="G27" s="64"/>
      <c r="H27" s="64"/>
      <c r="I27" s="64"/>
      <c r="J27" s="64"/>
      <c r="K27" s="64"/>
      <c r="L27" s="66"/>
      <c r="M27" s="151"/>
      <c r="N27" s="64"/>
      <c r="O27" s="64"/>
      <c r="P27" s="64"/>
      <c r="Q27" s="64"/>
      <c r="R27" s="157"/>
      <c r="S27" s="157"/>
      <c r="T27" s="157"/>
      <c r="U27" s="157"/>
      <c r="V27" s="64"/>
      <c r="W27" s="64"/>
      <c r="X27" s="116"/>
      <c r="Y27" s="49"/>
      <c r="Z27" s="49"/>
      <c r="AA27" s="49"/>
      <c r="AB27" s="49"/>
      <c r="AC27" s="49"/>
      <c r="AD27" s="49"/>
    </row>
    <row r="28" spans="1:30" ht="20.25" customHeight="1">
      <c r="A28" s="23"/>
      <c r="B28" s="23"/>
      <c r="C28" s="23"/>
      <c r="D28" s="23"/>
      <c r="E28" s="23"/>
      <c r="F28" s="65"/>
      <c r="G28" s="64"/>
      <c r="H28" s="64"/>
      <c r="I28" s="64"/>
      <c r="J28" s="64"/>
      <c r="K28" s="64"/>
      <c r="L28" s="66"/>
      <c r="M28" s="151"/>
      <c r="N28" s="64"/>
      <c r="O28" s="64"/>
      <c r="P28" s="64"/>
      <c r="Q28" s="64"/>
      <c r="R28" s="157"/>
      <c r="S28" s="157"/>
      <c r="T28" s="157"/>
      <c r="U28" s="157"/>
      <c r="V28" s="64"/>
      <c r="W28" s="64"/>
      <c r="X28" s="116"/>
      <c r="Y28" s="49"/>
      <c r="Z28" s="49"/>
      <c r="AA28" s="49"/>
      <c r="AB28" s="49"/>
      <c r="AC28" s="49"/>
      <c r="AD28" s="49"/>
    </row>
    <row r="29" spans="1:30" ht="20.25" customHeight="1">
      <c r="A29" s="23"/>
      <c r="B29" s="23"/>
      <c r="C29" s="23"/>
      <c r="D29" s="23"/>
      <c r="E29" s="23"/>
      <c r="F29" s="65"/>
      <c r="G29" s="64"/>
      <c r="H29" s="64"/>
      <c r="I29" s="64"/>
      <c r="J29" s="64"/>
      <c r="K29" s="64"/>
      <c r="L29" s="66"/>
      <c r="M29" s="151"/>
      <c r="N29" s="64"/>
      <c r="O29" s="64"/>
      <c r="P29" s="64"/>
      <c r="Q29" s="64"/>
      <c r="R29" s="157"/>
      <c r="S29" s="157"/>
      <c r="T29" s="157"/>
      <c r="U29" s="157"/>
      <c r="V29" s="64"/>
      <c r="W29" s="64"/>
      <c r="X29" s="116"/>
      <c r="Y29" s="49"/>
      <c r="Z29" s="49"/>
      <c r="AA29" s="49"/>
      <c r="AB29" s="49"/>
      <c r="AC29" s="49"/>
      <c r="AD29" s="49"/>
    </row>
    <row r="30" spans="1:30" ht="20.25" customHeight="1">
      <c r="A30" s="23"/>
      <c r="B30" s="23"/>
      <c r="C30" s="23"/>
      <c r="D30" s="23"/>
      <c r="E30" s="23"/>
      <c r="F30" s="65"/>
      <c r="G30" s="64"/>
      <c r="H30" s="64"/>
      <c r="I30" s="64"/>
      <c r="J30" s="64"/>
      <c r="K30" s="64"/>
      <c r="L30" s="66"/>
      <c r="M30" s="151"/>
      <c r="N30" s="64"/>
      <c r="O30" s="64"/>
      <c r="P30" s="64"/>
      <c r="Q30" s="64"/>
      <c r="R30" s="157"/>
      <c r="S30" s="157"/>
      <c r="T30" s="157"/>
      <c r="U30" s="157"/>
      <c r="V30" s="64"/>
      <c r="W30" s="64"/>
      <c r="X30" s="116"/>
      <c r="Y30" s="49"/>
      <c r="Z30" s="49"/>
      <c r="AA30" s="49"/>
      <c r="AB30" s="49"/>
      <c r="AC30" s="49"/>
      <c r="AD30" s="49"/>
    </row>
  </sheetData>
  <sheetProtection/>
  <mergeCells count="16">
    <mergeCell ref="S5:W6"/>
    <mergeCell ref="A5:A8"/>
    <mergeCell ref="B5:F6"/>
    <mergeCell ref="B7:E7"/>
    <mergeCell ref="F7:F8"/>
    <mergeCell ref="S7:V7"/>
    <mergeCell ref="S1:W1"/>
    <mergeCell ref="G7:J7"/>
    <mergeCell ref="N7:Q7"/>
    <mergeCell ref="R7:R8"/>
    <mergeCell ref="K7:K8"/>
    <mergeCell ref="W7:W8"/>
    <mergeCell ref="G6:K6"/>
    <mergeCell ref="A3:W3"/>
    <mergeCell ref="N6:R6"/>
    <mergeCell ref="G5:R5"/>
  </mergeCells>
  <printOptions/>
  <pageMargins left="0.34" right="0.17" top="0.3" bottom="0.4" header="0.31496062992125984" footer="0.31496062992125984"/>
  <pageSetup fitToHeight="4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86"/>
  <sheetViews>
    <sheetView view="pageBreakPreview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5.7109375" style="0" customWidth="1"/>
    <col min="2" max="2" width="31.421875" style="0" customWidth="1"/>
    <col min="3" max="3" width="27.57421875" style="0" customWidth="1"/>
    <col min="4" max="4" width="31.28125" style="0" customWidth="1"/>
    <col min="5" max="5" width="33.00390625" style="0" customWidth="1"/>
    <col min="9" max="9" width="7.57421875" style="287" hidden="1" customWidth="1"/>
    <col min="10" max="10" width="7.8515625" style="287" hidden="1" customWidth="1"/>
    <col min="11" max="11" width="8.7109375" style="287" hidden="1" customWidth="1"/>
    <col min="12" max="12" width="8.140625" style="287" hidden="1" customWidth="1"/>
    <col min="13" max="13" width="7.421875" style="287" hidden="1" customWidth="1"/>
    <col min="14" max="14" width="6.8515625" style="287" hidden="1" customWidth="1"/>
    <col min="15" max="15" width="6.7109375" style="287" hidden="1" customWidth="1"/>
    <col min="16" max="16" width="15.140625" style="20" customWidth="1"/>
    <col min="17" max="17" width="16.28125" style="20" customWidth="1"/>
    <col min="18" max="18" width="15.8515625" style="20" customWidth="1"/>
    <col min="19" max="16384" width="9.140625" style="20" customWidth="1"/>
  </cols>
  <sheetData>
    <row r="1" spans="5:8" ht="82.5" customHeight="1">
      <c r="E1" s="1016" t="s">
        <v>315</v>
      </c>
      <c r="F1" s="1016"/>
      <c r="G1" s="1016"/>
      <c r="H1" s="417"/>
    </row>
    <row r="2" spans="4:8" ht="51" customHeight="1">
      <c r="D2" s="1020"/>
      <c r="E2" s="1020"/>
      <c r="F2" s="1020"/>
      <c r="G2" s="643"/>
      <c r="H2" s="643"/>
    </row>
    <row r="3" spans="1:15" ht="30" customHeight="1" thickBot="1">
      <c r="A3" s="1018" t="s">
        <v>333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</row>
    <row r="4" spans="1:15" ht="21.75" customHeight="1" thickBot="1">
      <c r="A4" s="694"/>
      <c r="B4" s="695"/>
      <c r="C4" s="696"/>
      <c r="D4" s="696"/>
      <c r="E4" s="696"/>
      <c r="F4" s="696"/>
      <c r="G4" s="696"/>
      <c r="H4" s="696"/>
      <c r="I4" s="697"/>
      <c r="J4" s="697"/>
      <c r="K4" s="697"/>
      <c r="L4" s="697"/>
      <c r="M4" s="697"/>
      <c r="N4" s="697"/>
      <c r="O4" s="697"/>
    </row>
    <row r="5" spans="1:15" ht="56.25" customHeight="1" thickBot="1">
      <c r="A5" s="696"/>
      <c r="B5" s="1021"/>
      <c r="C5" s="1023" t="s">
        <v>240</v>
      </c>
      <c r="D5" s="1024"/>
      <c r="E5" s="1025" t="s">
        <v>314</v>
      </c>
      <c r="F5" s="696"/>
      <c r="G5" s="696"/>
      <c r="H5" s="696"/>
      <c r="I5" s="429"/>
      <c r="J5" s="429"/>
      <c r="K5" s="429"/>
      <c r="L5" s="429"/>
      <c r="M5" s="1019" t="s">
        <v>136</v>
      </c>
      <c r="N5" s="1019"/>
      <c r="O5" s="1019"/>
    </row>
    <row r="6" spans="1:15" ht="117.75" customHeight="1" thickBot="1">
      <c r="A6" s="696"/>
      <c r="B6" s="1022"/>
      <c r="C6" s="698" t="s">
        <v>223</v>
      </c>
      <c r="D6" s="698" t="s">
        <v>224</v>
      </c>
      <c r="E6" s="978"/>
      <c r="F6" s="699"/>
      <c r="G6" s="700"/>
      <c r="H6" s="700"/>
      <c r="I6" s="700"/>
      <c r="J6" s="1017" t="s">
        <v>142</v>
      </c>
      <c r="K6" s="1017"/>
      <c r="L6" s="1017"/>
      <c r="M6" s="1019"/>
      <c r="N6" s="1019"/>
      <c r="O6" s="1019"/>
    </row>
    <row r="7" spans="1:15" ht="27" customHeight="1" thickBot="1">
      <c r="A7" s="696"/>
      <c r="B7" s="701">
        <v>1</v>
      </c>
      <c r="C7" s="582">
        <v>2</v>
      </c>
      <c r="D7" s="582">
        <v>3</v>
      </c>
      <c r="E7" s="702">
        <v>4</v>
      </c>
      <c r="F7" s="696"/>
      <c r="G7" s="696"/>
      <c r="H7" s="1029"/>
      <c r="I7" s="1029"/>
      <c r="J7" s="1030" t="s">
        <v>150</v>
      </c>
      <c r="K7" s="1032" t="s">
        <v>151</v>
      </c>
      <c r="L7" s="1033"/>
      <c r="M7" s="1034" t="s">
        <v>150</v>
      </c>
      <c r="N7" s="1026" t="s">
        <v>151</v>
      </c>
      <c r="O7" s="1027"/>
    </row>
    <row r="8" spans="1:15" ht="57" customHeight="1" thickBot="1">
      <c r="A8" s="696"/>
      <c r="B8" s="692" t="s">
        <v>225</v>
      </c>
      <c r="C8" s="693">
        <v>419</v>
      </c>
      <c r="D8" s="693">
        <v>12500</v>
      </c>
      <c r="E8" s="497">
        <f>C8+D8</f>
        <v>12919</v>
      </c>
      <c r="F8" s="696"/>
      <c r="G8" s="696"/>
      <c r="H8" s="696"/>
      <c r="I8" s="703" t="s">
        <v>153</v>
      </c>
      <c r="J8" s="1031"/>
      <c r="K8" s="433" t="s">
        <v>155</v>
      </c>
      <c r="L8" s="434" t="s">
        <v>153</v>
      </c>
      <c r="M8" s="1031"/>
      <c r="N8" s="433" t="s">
        <v>154</v>
      </c>
      <c r="O8" s="434" t="s">
        <v>153</v>
      </c>
    </row>
    <row r="9" spans="2:15" ht="35.25" customHeight="1" thickBot="1">
      <c r="B9" s="690" t="s">
        <v>187</v>
      </c>
      <c r="C9" s="691"/>
      <c r="D9" s="691"/>
      <c r="E9" s="644">
        <v>145</v>
      </c>
      <c r="I9" s="307">
        <v>9</v>
      </c>
      <c r="J9" s="306">
        <v>10</v>
      </c>
      <c r="K9" s="306">
        <v>11</v>
      </c>
      <c r="L9" s="307">
        <v>12</v>
      </c>
      <c r="M9" s="305"/>
      <c r="N9" s="306"/>
      <c r="O9" s="308"/>
    </row>
    <row r="10" spans="2:15" ht="30" customHeight="1" thickBot="1">
      <c r="B10" s="645" t="s">
        <v>86</v>
      </c>
      <c r="C10" s="494"/>
      <c r="D10" s="494"/>
      <c r="E10" s="497">
        <f>SUM(E8:E9)</f>
        <v>13064</v>
      </c>
      <c r="I10" s="320">
        <f aca="true" t="shared" si="0" ref="I10:I26">F10/9*12</f>
        <v>0</v>
      </c>
      <c r="J10" s="321">
        <f aca="true" t="shared" si="1" ref="J10:J30">K10+L10</f>
        <v>795</v>
      </c>
      <c r="K10" s="319">
        <v>558</v>
      </c>
      <c r="L10" s="322">
        <v>237</v>
      </c>
      <c r="M10" s="323"/>
      <c r="N10" s="322"/>
      <c r="O10" s="322"/>
    </row>
    <row r="11" spans="1:15" ht="25.5" customHeight="1" hidden="1">
      <c r="A11" s="224"/>
      <c r="B11" s="1028" t="s">
        <v>226</v>
      </c>
      <c r="C11" s="1028"/>
      <c r="D11" s="646"/>
      <c r="E11" s="647">
        <f>E10/43548</f>
        <v>0.299990814733168</v>
      </c>
      <c r="F11" s="639"/>
      <c r="G11" s="639"/>
      <c r="H11" s="639"/>
      <c r="I11" s="320">
        <f t="shared" si="0"/>
        <v>0</v>
      </c>
      <c r="J11" s="340">
        <f t="shared" si="1"/>
        <v>25434</v>
      </c>
      <c r="K11" s="341"/>
      <c r="L11" s="342">
        <v>25434</v>
      </c>
      <c r="M11" s="343"/>
      <c r="N11" s="342"/>
      <c r="O11" s="342"/>
    </row>
    <row r="12" spans="2:15" ht="18.75">
      <c r="B12" s="648"/>
      <c r="C12" s="224"/>
      <c r="D12" s="224"/>
      <c r="E12" s="224"/>
      <c r="I12" s="320">
        <f t="shared" si="0"/>
        <v>0</v>
      </c>
      <c r="J12" s="340">
        <f t="shared" si="1"/>
        <v>7471</v>
      </c>
      <c r="K12" s="341">
        <v>7471</v>
      </c>
      <c r="L12" s="342"/>
      <c r="M12" s="343"/>
      <c r="N12" s="342"/>
      <c r="O12" s="342"/>
    </row>
    <row r="13" spans="9:15" ht="15">
      <c r="I13" s="320">
        <f t="shared" si="0"/>
        <v>0</v>
      </c>
      <c r="J13" s="340">
        <f t="shared" si="1"/>
        <v>902</v>
      </c>
      <c r="K13" s="341">
        <v>853</v>
      </c>
      <c r="L13" s="342">
        <v>49</v>
      </c>
      <c r="M13" s="343"/>
      <c r="N13" s="342"/>
      <c r="O13" s="342"/>
    </row>
    <row r="14" spans="9:15" ht="15">
      <c r="I14" s="320">
        <f t="shared" si="0"/>
        <v>0</v>
      </c>
      <c r="J14" s="340">
        <f t="shared" si="1"/>
        <v>38</v>
      </c>
      <c r="K14" s="341">
        <v>21</v>
      </c>
      <c r="L14" s="342">
        <v>17</v>
      </c>
      <c r="M14" s="343"/>
      <c r="N14" s="342"/>
      <c r="O14" s="342"/>
    </row>
    <row r="15" spans="9:15" ht="15">
      <c r="I15" s="320">
        <f t="shared" si="0"/>
        <v>0</v>
      </c>
      <c r="J15" s="340">
        <f t="shared" si="1"/>
        <v>0</v>
      </c>
      <c r="K15" s="341"/>
      <c r="L15" s="342"/>
      <c r="M15" s="343"/>
      <c r="N15" s="342"/>
      <c r="O15" s="342"/>
    </row>
    <row r="16" spans="9:15" ht="15">
      <c r="I16" s="320">
        <f t="shared" si="0"/>
        <v>0</v>
      </c>
      <c r="J16" s="340">
        <f t="shared" si="1"/>
        <v>1150</v>
      </c>
      <c r="K16" s="341">
        <v>863</v>
      </c>
      <c r="L16" s="342">
        <v>287</v>
      </c>
      <c r="M16" s="343"/>
      <c r="N16" s="342"/>
      <c r="O16" s="342"/>
    </row>
    <row r="17" spans="9:15" ht="15">
      <c r="I17" s="320">
        <f t="shared" si="0"/>
        <v>0</v>
      </c>
      <c r="J17" s="340">
        <f t="shared" si="1"/>
        <v>205</v>
      </c>
      <c r="K17" s="341">
        <v>58</v>
      </c>
      <c r="L17" s="342">
        <v>147</v>
      </c>
      <c r="M17" s="343"/>
      <c r="N17" s="342"/>
      <c r="O17" s="342"/>
    </row>
    <row r="18" spans="9:15" ht="15">
      <c r="I18" s="320">
        <f t="shared" si="0"/>
        <v>0</v>
      </c>
      <c r="J18" s="340">
        <f t="shared" si="1"/>
        <v>3747</v>
      </c>
      <c r="K18" s="341">
        <v>1158</v>
      </c>
      <c r="L18" s="342">
        <v>2589</v>
      </c>
      <c r="M18" s="343"/>
      <c r="N18" s="342"/>
      <c r="O18" s="342"/>
    </row>
    <row r="19" spans="9:15" ht="15">
      <c r="I19" s="320">
        <f t="shared" si="0"/>
        <v>0</v>
      </c>
      <c r="J19" s="340">
        <f t="shared" si="1"/>
        <v>836</v>
      </c>
      <c r="K19" s="341"/>
      <c r="L19" s="342">
        <v>836</v>
      </c>
      <c r="M19" s="343"/>
      <c r="N19" s="342"/>
      <c r="O19" s="342"/>
    </row>
    <row r="20" spans="9:15" ht="15">
      <c r="I20" s="320">
        <f t="shared" si="0"/>
        <v>0</v>
      </c>
      <c r="J20" s="340">
        <f t="shared" si="1"/>
        <v>0</v>
      </c>
      <c r="K20" s="341"/>
      <c r="L20" s="342"/>
      <c r="M20" s="343"/>
      <c r="N20" s="342"/>
      <c r="O20" s="342"/>
    </row>
    <row r="21" spans="9:15" ht="15">
      <c r="I21" s="320">
        <f t="shared" si="0"/>
        <v>0</v>
      </c>
      <c r="J21" s="340">
        <f t="shared" si="1"/>
        <v>0</v>
      </c>
      <c r="K21" s="341"/>
      <c r="L21" s="342"/>
      <c r="M21" s="343"/>
      <c r="N21" s="342"/>
      <c r="O21" s="342"/>
    </row>
    <row r="22" spans="9:15" ht="15">
      <c r="I22" s="320">
        <f t="shared" si="0"/>
        <v>0</v>
      </c>
      <c r="J22" s="340">
        <f t="shared" si="1"/>
        <v>8047</v>
      </c>
      <c r="K22" s="341">
        <v>2158</v>
      </c>
      <c r="L22" s="342">
        <v>5889</v>
      </c>
      <c r="M22" s="343"/>
      <c r="N22" s="342"/>
      <c r="O22" s="342"/>
    </row>
    <row r="23" spans="9:15" ht="15">
      <c r="I23" s="320">
        <f t="shared" si="0"/>
        <v>0</v>
      </c>
      <c r="J23" s="340">
        <f t="shared" si="1"/>
        <v>9993</v>
      </c>
      <c r="K23" s="341">
        <v>9944</v>
      </c>
      <c r="L23" s="342">
        <v>49</v>
      </c>
      <c r="M23" s="343"/>
      <c r="N23" s="342"/>
      <c r="O23" s="342"/>
    </row>
    <row r="24" spans="9:15" ht="15">
      <c r="I24" s="320">
        <f t="shared" si="0"/>
        <v>0</v>
      </c>
      <c r="J24" s="340">
        <f t="shared" si="1"/>
        <v>3044</v>
      </c>
      <c r="K24" s="341">
        <v>1610</v>
      </c>
      <c r="L24" s="342">
        <v>1434</v>
      </c>
      <c r="M24" s="343"/>
      <c r="N24" s="342"/>
      <c r="O24" s="342"/>
    </row>
    <row r="25" spans="9:15" ht="15">
      <c r="I25" s="320">
        <f t="shared" si="0"/>
        <v>0</v>
      </c>
      <c r="J25" s="340">
        <f t="shared" si="1"/>
        <v>3271</v>
      </c>
      <c r="K25" s="341">
        <v>2083</v>
      </c>
      <c r="L25" s="342">
        <v>1188</v>
      </c>
      <c r="M25" s="343"/>
      <c r="N25" s="342"/>
      <c r="O25" s="342"/>
    </row>
    <row r="26" spans="9:15" ht="15">
      <c r="I26" s="360">
        <f t="shared" si="0"/>
        <v>0</v>
      </c>
      <c r="J26" s="340">
        <f t="shared" si="1"/>
        <v>2894</v>
      </c>
      <c r="K26" s="341">
        <v>2189</v>
      </c>
      <c r="L26" s="342">
        <v>705</v>
      </c>
      <c r="M26" s="343"/>
      <c r="N26" s="342"/>
      <c r="O26" s="342"/>
    </row>
    <row r="27" spans="9:15" ht="15">
      <c r="I27" s="362"/>
      <c r="J27" s="340">
        <f t="shared" si="1"/>
        <v>5337</v>
      </c>
      <c r="K27" s="341">
        <v>2052</v>
      </c>
      <c r="L27" s="342">
        <v>3285</v>
      </c>
      <c r="M27" s="343"/>
      <c r="N27" s="342"/>
      <c r="O27" s="342"/>
    </row>
    <row r="28" spans="9:15" ht="15">
      <c r="I28" s="362"/>
      <c r="J28" s="340">
        <f t="shared" si="1"/>
        <v>11386</v>
      </c>
      <c r="K28" s="341">
        <v>5357</v>
      </c>
      <c r="L28" s="342">
        <v>6029</v>
      </c>
      <c r="M28" s="343"/>
      <c r="N28" s="342"/>
      <c r="O28" s="342"/>
    </row>
    <row r="29" spans="9:15" ht="15.75" thickBot="1">
      <c r="I29" s="366"/>
      <c r="J29" s="367">
        <f t="shared" si="1"/>
        <v>32178</v>
      </c>
      <c r="K29" s="365">
        <v>15140</v>
      </c>
      <c r="L29" s="368">
        <v>17038</v>
      </c>
      <c r="M29" s="369"/>
      <c r="N29" s="368"/>
      <c r="O29" s="368"/>
    </row>
    <row r="30" spans="9:18" ht="15.75" thickBot="1">
      <c r="I30" s="384">
        <f>SUM(I11:I26)</f>
        <v>0</v>
      </c>
      <c r="J30" s="385">
        <f t="shared" si="1"/>
        <v>116728</v>
      </c>
      <c r="K30" s="383">
        <f>SUM(K10:K29)</f>
        <v>51515</v>
      </c>
      <c r="L30" s="386">
        <f>SUM(L10:L29)</f>
        <v>65213</v>
      </c>
      <c r="M30" s="382">
        <v>2765</v>
      </c>
      <c r="N30" s="383"/>
      <c r="O30" s="386"/>
      <c r="P30" s="29"/>
      <c r="Q30" s="29"/>
      <c r="R30" s="29"/>
    </row>
    <row r="31" spans="9:18" ht="15">
      <c r="I31" s="396"/>
      <c r="J31" s="396"/>
      <c r="K31" s="396"/>
      <c r="L31" s="396"/>
      <c r="M31" s="396"/>
      <c r="N31" s="396"/>
      <c r="O31" s="396"/>
      <c r="P31" s="29"/>
      <c r="Q31" s="29"/>
      <c r="R31" s="29"/>
    </row>
    <row r="32" spans="9:18" ht="15.75" thickBot="1">
      <c r="I32" s="404"/>
      <c r="J32" s="404"/>
      <c r="K32" s="404"/>
      <c r="L32" s="404"/>
      <c r="M32" s="404"/>
      <c r="N32" s="404"/>
      <c r="O32" s="404"/>
      <c r="P32" s="29"/>
      <c r="Q32" s="29"/>
      <c r="R32" s="29"/>
    </row>
    <row r="33" spans="9:18" ht="15">
      <c r="I33" s="417"/>
      <c r="J33" s="417"/>
      <c r="K33" s="417"/>
      <c r="L33" s="417"/>
      <c r="M33" s="417"/>
      <c r="N33" s="417"/>
      <c r="O33" s="417"/>
      <c r="P33" s="29"/>
      <c r="Q33" s="29"/>
      <c r="R33" s="29"/>
    </row>
    <row r="34" spans="9:18" ht="15">
      <c r="I34" s="421"/>
      <c r="J34" s="421"/>
      <c r="K34" s="421"/>
      <c r="L34" s="421"/>
      <c r="M34" s="421"/>
      <c r="N34" s="421"/>
      <c r="O34" s="421"/>
      <c r="P34" s="29"/>
      <c r="Q34" s="29"/>
      <c r="R34" s="29"/>
    </row>
    <row r="35" spans="9:18" ht="15">
      <c r="I35" s="422"/>
      <c r="J35" s="422"/>
      <c r="K35" s="422"/>
      <c r="L35" s="422"/>
      <c r="M35" s="422"/>
      <c r="N35" s="422"/>
      <c r="O35" s="422"/>
      <c r="P35" s="29"/>
      <c r="Q35" s="29"/>
      <c r="R35" s="29"/>
    </row>
    <row r="36" spans="9:18" ht="15">
      <c r="I36" s="421"/>
      <c r="J36" s="421"/>
      <c r="K36" s="421"/>
      <c r="L36" s="421"/>
      <c r="M36" s="421"/>
      <c r="N36" s="421"/>
      <c r="O36" s="421"/>
      <c r="P36" s="29"/>
      <c r="Q36" s="29"/>
      <c r="R36" s="29"/>
    </row>
    <row r="37" spans="9:18" ht="15">
      <c r="I37" s="425"/>
      <c r="J37" s="425"/>
      <c r="K37" s="425"/>
      <c r="L37" s="425"/>
      <c r="M37" s="425"/>
      <c r="N37" s="425"/>
      <c r="O37" s="425"/>
      <c r="P37" s="29"/>
      <c r="Q37" s="29"/>
      <c r="R37" s="29"/>
    </row>
    <row r="38" spans="16:18" ht="15">
      <c r="P38" s="29"/>
      <c r="Q38" s="29"/>
      <c r="R38" s="29"/>
    </row>
    <row r="39" ht="15">
      <c r="Q39" s="29"/>
    </row>
    <row r="40" ht="15">
      <c r="Q40" s="29"/>
    </row>
    <row r="41" ht="15">
      <c r="Q41" s="29"/>
    </row>
    <row r="42" ht="15">
      <c r="Q42" s="29"/>
    </row>
    <row r="43" ht="15">
      <c r="Q43" s="29"/>
    </row>
    <row r="44" ht="15">
      <c r="Q44" s="29"/>
    </row>
    <row r="45" ht="15">
      <c r="Q45" s="29"/>
    </row>
    <row r="46" ht="15">
      <c r="Q46" s="29"/>
    </row>
    <row r="47" ht="15">
      <c r="Q47" s="29"/>
    </row>
    <row r="48" ht="15">
      <c r="Q48" s="29"/>
    </row>
    <row r="49" ht="15">
      <c r="Q49" s="29"/>
    </row>
    <row r="50" ht="15">
      <c r="Q50" s="29"/>
    </row>
    <row r="51" ht="15">
      <c r="Q51" s="29"/>
    </row>
    <row r="52" ht="15">
      <c r="Q52" s="29"/>
    </row>
    <row r="53" ht="15">
      <c r="Q53" s="29"/>
    </row>
    <row r="54" ht="15">
      <c r="Q54" s="29"/>
    </row>
    <row r="58" ht="15" customHeight="1" hidden="1"/>
    <row r="59" ht="15.75" customHeight="1" hidden="1" thickBot="1"/>
    <row r="60" ht="15" customHeight="1" hidden="1"/>
    <row r="61" ht="65.25" customHeight="1" hidden="1"/>
    <row r="62" ht="15" customHeight="1" hidden="1" thickBot="1"/>
    <row r="63" ht="15.75" customHeight="1" hidden="1" thickBot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>
      <c r="Q70" s="29"/>
    </row>
    <row r="71" ht="15" customHeight="1" hidden="1">
      <c r="Q71" s="29"/>
    </row>
    <row r="72" ht="15" customHeight="1" hidden="1">
      <c r="Q72" s="29"/>
    </row>
    <row r="73" ht="15" customHeight="1" hidden="1">
      <c r="Q73" s="29"/>
    </row>
    <row r="74" ht="15" customHeight="1" hidden="1">
      <c r="Q74" s="29"/>
    </row>
    <row r="75" ht="15" customHeight="1" hidden="1">
      <c r="Q75" s="29"/>
    </row>
    <row r="76" ht="15" customHeight="1" hidden="1">
      <c r="Q76" s="29"/>
    </row>
    <row r="77" ht="15" customHeight="1" hidden="1">
      <c r="Q77" s="29"/>
    </row>
    <row r="78" ht="15" customHeight="1" hidden="1">
      <c r="Q78" s="29"/>
    </row>
    <row r="79" ht="15" customHeight="1" hidden="1">
      <c r="Q79" s="29"/>
    </row>
    <row r="80" ht="15" customHeight="1" hidden="1">
      <c r="Q80" s="29"/>
    </row>
    <row r="81" ht="15" customHeight="1" hidden="1">
      <c r="Q81" s="29"/>
    </row>
    <row r="82" ht="15" customHeight="1" hidden="1">
      <c r="Q82" s="29"/>
    </row>
    <row r="83" ht="15" customHeight="1" hidden="1">
      <c r="Q83" s="29"/>
    </row>
    <row r="84" ht="15" customHeight="1" hidden="1">
      <c r="Q84" s="29"/>
    </row>
    <row r="85" ht="15.75" customHeight="1" hidden="1" thickBot="1">
      <c r="Q85" s="29"/>
    </row>
    <row r="86" ht="15.75" customHeight="1" hidden="1" thickBot="1">
      <c r="Q86" s="29"/>
    </row>
    <row r="87" ht="15" customHeight="1" hidden="1"/>
    <row r="88" ht="15" customHeight="1" hidden="1"/>
    <row r="89" ht="15" customHeight="1" hidden="1"/>
    <row r="90" ht="15.75" customHeight="1" hidden="1" thickBot="1"/>
    <row r="91" ht="15" customHeight="1" hidden="1"/>
    <row r="92" ht="65.25" customHeight="1" hidden="1"/>
    <row r="93" ht="15" customHeight="1" hidden="1" thickBot="1"/>
    <row r="94" ht="15.75" customHeight="1" hidden="1" thickBot="1"/>
    <row r="95" ht="15.75" customHeight="1" hidden="1" thickBot="1"/>
    <row r="96" ht="15.75" customHeight="1" hidden="1" thickBot="1"/>
    <row r="97" ht="15" customHeight="1" hidden="1"/>
    <row r="98" ht="15" customHeight="1" hidden="1"/>
    <row r="99" ht="15" customHeight="1" hidden="1"/>
    <row r="100" ht="15.75" customHeight="1" hidden="1" thickBot="1"/>
    <row r="101" ht="15" customHeight="1" hidden="1"/>
    <row r="102" ht="65.25" customHeight="1" hidden="1"/>
    <row r="103" ht="15" customHeight="1" hidden="1" thickBot="1"/>
    <row r="104" ht="15.75" customHeight="1" hidden="1" thickBot="1"/>
    <row r="105" ht="15.75" customHeight="1" hidden="1" thickBot="1"/>
    <row r="106" ht="15.75" customHeight="1" hidden="1" thickBot="1"/>
    <row r="107" ht="15" customHeight="1" hidden="1"/>
    <row r="108" ht="15" customHeight="1" hidden="1"/>
    <row r="109" ht="15" customHeight="1" hidden="1"/>
    <row r="110" ht="15.75" customHeight="1" hidden="1" thickBot="1"/>
    <row r="111" ht="15" customHeight="1" hidden="1"/>
    <row r="112" ht="65.25" customHeight="1" hidden="1"/>
    <row r="113" ht="15" customHeight="1" hidden="1" thickBot="1"/>
    <row r="114" ht="15.75" customHeight="1" hidden="1" thickBot="1"/>
    <row r="115" ht="15.75" customHeight="1" hidden="1" thickBot="1"/>
    <row r="116" ht="15.75" customHeight="1" hidden="1" thickBot="1"/>
    <row r="117" ht="15" customHeight="1" hidden="1"/>
    <row r="118" ht="15" customHeight="1" hidden="1"/>
    <row r="119" ht="15.75" customHeight="1" hidden="1" thickBot="1"/>
    <row r="120" ht="15" customHeight="1" hidden="1"/>
    <row r="121" ht="65.25" customHeight="1" hidden="1"/>
    <row r="122" ht="15" customHeight="1" hidden="1" thickBot="1"/>
    <row r="123" ht="15.75" customHeight="1" hidden="1" thickBot="1"/>
    <row r="124" ht="15" customHeight="1" hidden="1"/>
    <row r="125" ht="15" customHeight="1" hidden="1"/>
    <row r="126" ht="15" customHeight="1" hidden="1"/>
    <row r="127" ht="15" customHeight="1" hidden="1"/>
    <row r="128" ht="15.75" customHeight="1" hidden="1" thickBot="1"/>
    <row r="129" ht="15.75" customHeight="1" hidden="1" thickBot="1"/>
    <row r="130" ht="15" customHeight="1" hidden="1"/>
    <row r="131" ht="15" customHeight="1" hidden="1"/>
    <row r="132" ht="15.75" customHeight="1" hidden="1" thickBot="1"/>
    <row r="133" ht="15" customHeight="1" hidden="1"/>
    <row r="134" ht="65.25" customHeight="1" hidden="1"/>
    <row r="135" ht="15" customHeight="1" hidden="1" thickBot="1"/>
    <row r="136" ht="15.75" customHeight="1" hidden="1" thickBot="1"/>
    <row r="137" ht="15.75" customHeight="1" hidden="1" thickBot="1"/>
    <row r="138" ht="15.75" customHeight="1" hidden="1" thickBot="1"/>
    <row r="139" ht="15" customHeight="1" hidden="1"/>
    <row r="140" ht="15" customHeight="1" hidden="1"/>
    <row r="141" ht="15.75" customHeight="1" hidden="1" thickBot="1"/>
    <row r="142" ht="15" customHeight="1" hidden="1"/>
    <row r="143" ht="65.25" customHeight="1" hidden="1"/>
    <row r="144" ht="15" customHeight="1" hidden="1" thickBot="1"/>
    <row r="145" ht="15.75" customHeight="1" hidden="1" thickBot="1"/>
    <row r="146" ht="15" customHeight="1" hidden="1"/>
    <row r="147" ht="15.75" customHeight="1" hidden="1" thickBot="1"/>
    <row r="148" ht="15.75" customHeight="1" hidden="1" thickBot="1"/>
    <row r="149" ht="15" customHeight="1" hidden="1"/>
  </sheetData>
  <sheetProtection/>
  <mergeCells count="14">
    <mergeCell ref="N7:O7"/>
    <mergeCell ref="B11:C11"/>
    <mergeCell ref="H7:I7"/>
    <mergeCell ref="J7:J8"/>
    <mergeCell ref="K7:L7"/>
    <mergeCell ref="M7:M8"/>
    <mergeCell ref="E1:G1"/>
    <mergeCell ref="J6:L6"/>
    <mergeCell ref="A3:O3"/>
    <mergeCell ref="M5:O6"/>
    <mergeCell ref="D2:F2"/>
    <mergeCell ref="B5:B6"/>
    <mergeCell ref="C5:D5"/>
    <mergeCell ref="E5:E6"/>
  </mergeCells>
  <printOptions/>
  <pageMargins left="0.3" right="0.26" top="0.7480314960629921" bottom="0.7480314960629921" header="0.31496062992125984" footer="0.31496062992125984"/>
  <pageSetup fitToHeight="0" horizontalDpi="600" verticalDpi="600" orientation="landscape" paperSize="9" scale="95" r:id="rId1"/>
  <colBreaks count="1" manualBreakCount="1">
    <brk id="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T87"/>
  <sheetViews>
    <sheetView view="pageBreakPreview" zoomScale="70" zoomScaleSheetLayoutView="70" zoomScalePageLayoutView="0" workbookViewId="0" topLeftCell="Q10">
      <selection activeCell="AA7" sqref="AA7:AA8"/>
    </sheetView>
  </sheetViews>
  <sheetFormatPr defaultColWidth="9.140625" defaultRowHeight="15"/>
  <cols>
    <col min="1" max="1" width="29.7109375" style="285" customWidth="1"/>
    <col min="2" max="2" width="7.28125" style="286" hidden="1" customWidth="1"/>
    <col min="3" max="3" width="7.421875" style="286" hidden="1" customWidth="1"/>
    <col min="4" max="4" width="7.28125" style="286" hidden="1" customWidth="1"/>
    <col min="5" max="5" width="7.8515625" style="286" hidden="1" customWidth="1"/>
    <col min="6" max="6" width="7.00390625" style="286" hidden="1" customWidth="1"/>
    <col min="7" max="7" width="8.00390625" style="286" hidden="1" customWidth="1"/>
    <col min="8" max="8" width="7.28125" style="287" hidden="1" customWidth="1"/>
    <col min="9" max="9" width="7.140625" style="287" hidden="1" customWidth="1"/>
    <col min="10" max="10" width="7.57421875" style="287" hidden="1" customWidth="1"/>
    <col min="11" max="11" width="7.8515625" style="287" hidden="1" customWidth="1"/>
    <col min="12" max="12" width="8.7109375" style="287" hidden="1" customWidth="1"/>
    <col min="13" max="13" width="8.140625" style="287" hidden="1" customWidth="1"/>
    <col min="14" max="14" width="7.421875" style="287" hidden="1" customWidth="1"/>
    <col min="15" max="15" width="6.8515625" style="287" hidden="1" customWidth="1"/>
    <col min="16" max="16" width="6.7109375" style="287" hidden="1" customWidth="1"/>
    <col min="17" max="17" width="6.28125" style="287" customWidth="1"/>
    <col min="18" max="18" width="5.7109375" style="287" customWidth="1"/>
    <col min="19" max="19" width="7.00390625" style="287" customWidth="1"/>
    <col min="20" max="20" width="5.7109375" style="287" customWidth="1"/>
    <col min="21" max="21" width="6.140625" style="287" customWidth="1"/>
    <col min="22" max="22" width="6.28125" style="287" customWidth="1"/>
    <col min="23" max="23" width="8.00390625" style="287" customWidth="1"/>
    <col min="24" max="24" width="7.00390625" style="287" customWidth="1"/>
    <col min="25" max="25" width="7.140625" style="287" customWidth="1"/>
    <col min="26" max="26" width="8.28125" style="287" customWidth="1"/>
    <col min="27" max="27" width="8.421875" style="287" customWidth="1"/>
    <col min="28" max="28" width="9.57421875" style="287" customWidth="1"/>
    <col min="29" max="29" width="8.7109375" style="287" customWidth="1"/>
    <col min="30" max="30" width="8.57421875" style="287" customWidth="1"/>
    <col min="31" max="31" width="8.7109375" style="287" customWidth="1"/>
    <col min="32" max="32" width="7.421875" style="287" customWidth="1"/>
    <col min="33" max="33" width="6.8515625" style="287" customWidth="1"/>
    <col min="34" max="34" width="7.421875" style="287" customWidth="1"/>
    <col min="35" max="35" width="6.28125" style="287" customWidth="1"/>
    <col min="36" max="36" width="7.57421875" style="287" customWidth="1"/>
    <col min="37" max="37" width="6.140625" style="287" customWidth="1"/>
    <col min="38" max="38" width="7.140625" style="286" customWidth="1"/>
    <col min="39" max="39" width="7.28125" style="286" customWidth="1"/>
    <col min="40" max="40" width="6.28125" style="286" customWidth="1"/>
    <col min="41" max="41" width="7.00390625" style="289" customWidth="1"/>
    <col min="42" max="42" width="7.421875" style="289" customWidth="1"/>
    <col min="43" max="43" width="7.57421875" style="289" customWidth="1"/>
    <col min="44" max="44" width="15.140625" style="20" customWidth="1"/>
    <col min="45" max="45" width="16.28125" style="20" customWidth="1"/>
    <col min="46" max="46" width="15.8515625" style="20" customWidth="1"/>
    <col min="47" max="16384" width="9.140625" style="20" customWidth="1"/>
  </cols>
  <sheetData>
    <row r="1" spans="36:43" ht="63.75" customHeight="1">
      <c r="AJ1" s="1016" t="s">
        <v>230</v>
      </c>
      <c r="AK1" s="1016"/>
      <c r="AL1" s="1016"/>
      <c r="AM1" s="1016"/>
      <c r="AN1" s="1016"/>
      <c r="AO1" s="1016"/>
      <c r="AP1" s="1016"/>
      <c r="AQ1" s="1016"/>
    </row>
    <row r="2" spans="37:43" ht="15.75" customHeight="1">
      <c r="AK2" s="1020"/>
      <c r="AL2" s="1020"/>
      <c r="AM2" s="1020"/>
      <c r="AN2" s="1020"/>
      <c r="AO2" s="1020"/>
      <c r="AP2" s="1020"/>
      <c r="AQ2" s="1020"/>
    </row>
    <row r="3" spans="1:40" ht="30" customHeight="1" thickBot="1">
      <c r="A3" s="1018" t="s">
        <v>330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1018"/>
      <c r="AI3" s="1018"/>
      <c r="AJ3" s="1018"/>
      <c r="AK3" s="1018"/>
      <c r="AL3" s="1018"/>
      <c r="AM3" s="1018"/>
      <c r="AN3" s="1018"/>
    </row>
    <row r="4" spans="1:43" ht="21.75" customHeight="1" thickBot="1">
      <c r="A4" s="1069" t="s">
        <v>132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1072" t="s">
        <v>240</v>
      </c>
      <c r="R4" s="1072"/>
      <c r="S4" s="1072"/>
      <c r="T4" s="1072"/>
      <c r="U4" s="1072"/>
      <c r="V4" s="1072"/>
      <c r="W4" s="1072"/>
      <c r="X4" s="1072"/>
      <c r="Y4" s="1072"/>
      <c r="Z4" s="1072"/>
      <c r="AA4" s="1072"/>
      <c r="AB4" s="1072"/>
      <c r="AC4" s="1072"/>
      <c r="AD4" s="1072"/>
      <c r="AE4" s="1072"/>
      <c r="AF4" s="1072"/>
      <c r="AG4" s="1072"/>
      <c r="AH4" s="1072"/>
      <c r="AI4" s="1072"/>
      <c r="AJ4" s="1072"/>
      <c r="AK4" s="1072"/>
      <c r="AL4" s="1100" t="s">
        <v>316</v>
      </c>
      <c r="AM4" s="1101"/>
      <c r="AN4" s="1101"/>
      <c r="AO4" s="1101"/>
      <c r="AP4" s="1101"/>
      <c r="AQ4" s="1102"/>
    </row>
    <row r="5" spans="1:43" ht="56.25" customHeight="1" thickBot="1">
      <c r="A5" s="1070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1106" t="s">
        <v>136</v>
      </c>
      <c r="O5" s="1106"/>
      <c r="P5" s="1106"/>
      <c r="Q5" s="1107" t="s">
        <v>137</v>
      </c>
      <c r="R5" s="1107"/>
      <c r="S5" s="1107"/>
      <c r="T5" s="1107"/>
      <c r="U5" s="1107"/>
      <c r="V5" s="1107"/>
      <c r="W5" s="1108" t="s">
        <v>138</v>
      </c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09"/>
      <c r="AJ5" s="1109"/>
      <c r="AK5" s="1109"/>
      <c r="AL5" s="1103"/>
      <c r="AM5" s="1104"/>
      <c r="AN5" s="1104"/>
      <c r="AO5" s="1104"/>
      <c r="AP5" s="1104"/>
      <c r="AQ5" s="1105"/>
    </row>
    <row r="6" spans="1:43" ht="61.5" customHeight="1" thickBot="1">
      <c r="A6" s="1070"/>
      <c r="B6" s="1076" t="s">
        <v>139</v>
      </c>
      <c r="C6" s="1077"/>
      <c r="D6" s="1078"/>
      <c r="E6" s="1081" t="s">
        <v>140</v>
      </c>
      <c r="F6" s="1077"/>
      <c r="G6" s="1078"/>
      <c r="H6" s="1082" t="s">
        <v>141</v>
      </c>
      <c r="I6" s="1083"/>
      <c r="J6" s="1084"/>
      <c r="K6" s="1082" t="s">
        <v>142</v>
      </c>
      <c r="L6" s="1083"/>
      <c r="M6" s="1083"/>
      <c r="N6" s="1106"/>
      <c r="O6" s="1106"/>
      <c r="P6" s="1106"/>
      <c r="Q6" s="1091" t="s">
        <v>81</v>
      </c>
      <c r="R6" s="1092"/>
      <c r="S6" s="1093"/>
      <c r="T6" s="1079" t="s">
        <v>143</v>
      </c>
      <c r="U6" s="1080"/>
      <c r="V6" s="1080"/>
      <c r="W6" s="1094" t="s">
        <v>81</v>
      </c>
      <c r="X6" s="1095"/>
      <c r="Y6" s="1096"/>
      <c r="Z6" s="1049"/>
      <c r="AA6" s="1050"/>
      <c r="AB6" s="1050"/>
      <c r="AC6" s="1050"/>
      <c r="AD6" s="1050"/>
      <c r="AE6" s="1051"/>
      <c r="AF6" s="1097" t="s">
        <v>117</v>
      </c>
      <c r="AG6" s="1098"/>
      <c r="AH6" s="1099"/>
      <c r="AI6" s="1097" t="s">
        <v>118</v>
      </c>
      <c r="AJ6" s="1098"/>
      <c r="AK6" s="1099"/>
      <c r="AL6" s="1110" t="s">
        <v>148</v>
      </c>
      <c r="AM6" s="1111"/>
      <c r="AN6" s="1112"/>
      <c r="AO6" s="1073" t="s">
        <v>149</v>
      </c>
      <c r="AP6" s="1074"/>
      <c r="AQ6" s="1075"/>
    </row>
    <row r="7" spans="1:43" ht="90" customHeight="1">
      <c r="A7" s="1070"/>
      <c r="B7" s="1085" t="s">
        <v>150</v>
      </c>
      <c r="C7" s="1087" t="s">
        <v>250</v>
      </c>
      <c r="D7" s="1088"/>
      <c r="E7" s="1089" t="s">
        <v>150</v>
      </c>
      <c r="F7" s="1087" t="s">
        <v>250</v>
      </c>
      <c r="G7" s="1088"/>
      <c r="H7" s="1057" t="s">
        <v>150</v>
      </c>
      <c r="I7" s="1059" t="s">
        <v>250</v>
      </c>
      <c r="J7" s="1060"/>
      <c r="K7" s="1057" t="s">
        <v>150</v>
      </c>
      <c r="L7" s="1059" t="s">
        <v>151</v>
      </c>
      <c r="M7" s="1060"/>
      <c r="N7" s="1064" t="s">
        <v>150</v>
      </c>
      <c r="O7" s="1065" t="s">
        <v>151</v>
      </c>
      <c r="P7" s="1066"/>
      <c r="Q7" s="1047" t="s">
        <v>150</v>
      </c>
      <c r="R7" s="1045" t="s">
        <v>151</v>
      </c>
      <c r="S7" s="1046"/>
      <c r="T7" s="1047" t="s">
        <v>150</v>
      </c>
      <c r="U7" s="1045" t="s">
        <v>151</v>
      </c>
      <c r="V7" s="1063"/>
      <c r="W7" s="1061" t="s">
        <v>150</v>
      </c>
      <c r="X7" s="1045" t="s">
        <v>151</v>
      </c>
      <c r="Y7" s="1046"/>
      <c r="Z7" s="1052" t="s">
        <v>79</v>
      </c>
      <c r="AA7" s="1054" t="s">
        <v>80</v>
      </c>
      <c r="AB7" s="1054" t="s">
        <v>144</v>
      </c>
      <c r="AC7" s="1054" t="s">
        <v>145</v>
      </c>
      <c r="AD7" s="1054" t="s">
        <v>146</v>
      </c>
      <c r="AE7" s="1067" t="s">
        <v>147</v>
      </c>
      <c r="AF7" s="1037" t="s">
        <v>150</v>
      </c>
      <c r="AG7" s="1039" t="s">
        <v>151</v>
      </c>
      <c r="AH7" s="1040"/>
      <c r="AI7" s="1037" t="s">
        <v>150</v>
      </c>
      <c r="AJ7" s="1039" t="s">
        <v>151</v>
      </c>
      <c r="AK7" s="1040"/>
      <c r="AL7" s="1041" t="s">
        <v>150</v>
      </c>
      <c r="AM7" s="1043" t="s">
        <v>250</v>
      </c>
      <c r="AN7" s="1044"/>
      <c r="AO7" s="1041" t="s">
        <v>150</v>
      </c>
      <c r="AP7" s="1043" t="s">
        <v>250</v>
      </c>
      <c r="AQ7" s="1056"/>
    </row>
    <row r="8" spans="1:43" ht="24.75" customHeight="1" thickBot="1">
      <c r="A8" s="1071"/>
      <c r="B8" s="1086"/>
      <c r="C8" s="291" t="s">
        <v>152</v>
      </c>
      <c r="D8" s="292" t="s">
        <v>153</v>
      </c>
      <c r="E8" s="1090"/>
      <c r="F8" s="291" t="s">
        <v>152</v>
      </c>
      <c r="G8" s="292" t="s">
        <v>153</v>
      </c>
      <c r="H8" s="1058"/>
      <c r="I8" s="293" t="s">
        <v>154</v>
      </c>
      <c r="J8" s="294" t="s">
        <v>153</v>
      </c>
      <c r="K8" s="1058"/>
      <c r="L8" s="293" t="s">
        <v>155</v>
      </c>
      <c r="M8" s="294" t="s">
        <v>153</v>
      </c>
      <c r="N8" s="1058"/>
      <c r="O8" s="293" t="s">
        <v>154</v>
      </c>
      <c r="P8" s="294" t="s">
        <v>153</v>
      </c>
      <c r="Q8" s="1048"/>
      <c r="R8" s="295" t="s">
        <v>154</v>
      </c>
      <c r="S8" s="296" t="s">
        <v>153</v>
      </c>
      <c r="T8" s="1048"/>
      <c r="U8" s="295" t="s">
        <v>154</v>
      </c>
      <c r="V8" s="297" t="s">
        <v>153</v>
      </c>
      <c r="W8" s="1062"/>
      <c r="X8" s="295" t="s">
        <v>154</v>
      </c>
      <c r="Y8" s="296" t="s">
        <v>153</v>
      </c>
      <c r="Z8" s="1053"/>
      <c r="AA8" s="1055"/>
      <c r="AB8" s="1055"/>
      <c r="AC8" s="1055"/>
      <c r="AD8" s="1055"/>
      <c r="AE8" s="1068"/>
      <c r="AF8" s="1038"/>
      <c r="AG8" s="709" t="s">
        <v>154</v>
      </c>
      <c r="AH8" s="710" t="s">
        <v>153</v>
      </c>
      <c r="AI8" s="1038"/>
      <c r="AJ8" s="709" t="s">
        <v>154</v>
      </c>
      <c r="AK8" s="710" t="s">
        <v>153</v>
      </c>
      <c r="AL8" s="1042"/>
      <c r="AM8" s="298" t="s">
        <v>152</v>
      </c>
      <c r="AN8" s="753" t="s">
        <v>153</v>
      </c>
      <c r="AO8" s="1042"/>
      <c r="AP8" s="298" t="s">
        <v>152</v>
      </c>
      <c r="AQ8" s="299" t="s">
        <v>153</v>
      </c>
    </row>
    <row r="9" spans="1:43" ht="23.25" customHeight="1" thickBot="1">
      <c r="A9" s="300" t="s">
        <v>156</v>
      </c>
      <c r="B9" s="301">
        <v>1</v>
      </c>
      <c r="C9" s="302">
        <v>2</v>
      </c>
      <c r="D9" s="303">
        <v>3</v>
      </c>
      <c r="E9" s="304">
        <v>4</v>
      </c>
      <c r="F9" s="302">
        <v>5</v>
      </c>
      <c r="G9" s="303">
        <v>6</v>
      </c>
      <c r="H9" s="305">
        <v>7</v>
      </c>
      <c r="I9" s="306">
        <v>8</v>
      </c>
      <c r="J9" s="307">
        <v>9</v>
      </c>
      <c r="K9" s="306">
        <v>10</v>
      </c>
      <c r="L9" s="306">
        <v>11</v>
      </c>
      <c r="M9" s="307">
        <v>12</v>
      </c>
      <c r="N9" s="305"/>
      <c r="O9" s="306"/>
      <c r="P9" s="308"/>
      <c r="Q9" s="653">
        <v>1</v>
      </c>
      <c r="R9" s="654">
        <v>2</v>
      </c>
      <c r="S9" s="655">
        <v>3</v>
      </c>
      <c r="T9" s="305">
        <v>4</v>
      </c>
      <c r="U9" s="306">
        <v>5</v>
      </c>
      <c r="V9" s="307">
        <v>6</v>
      </c>
      <c r="W9" s="305">
        <v>7</v>
      </c>
      <c r="X9" s="306">
        <v>8</v>
      </c>
      <c r="Y9" s="308">
        <v>9</v>
      </c>
      <c r="Z9" s="309">
        <v>10</v>
      </c>
      <c r="AA9" s="306">
        <v>11</v>
      </c>
      <c r="AB9" s="306">
        <v>12</v>
      </c>
      <c r="AC9" s="306">
        <v>13</v>
      </c>
      <c r="AD9" s="306">
        <v>14</v>
      </c>
      <c r="AE9" s="307">
        <v>15</v>
      </c>
      <c r="AF9" s="305">
        <v>16</v>
      </c>
      <c r="AG9" s="309">
        <v>17</v>
      </c>
      <c r="AH9" s="744">
        <v>18</v>
      </c>
      <c r="AI9" s="309">
        <v>19</v>
      </c>
      <c r="AJ9" s="306">
        <v>20</v>
      </c>
      <c r="AK9" s="308">
        <v>21</v>
      </c>
      <c r="AL9" s="711">
        <v>22</v>
      </c>
      <c r="AM9" s="302">
        <v>23</v>
      </c>
      <c r="AN9" s="754">
        <v>24</v>
      </c>
      <c r="AO9" s="759">
        <v>25</v>
      </c>
      <c r="AP9" s="310">
        <v>26</v>
      </c>
      <c r="AQ9" s="311">
        <v>27</v>
      </c>
    </row>
    <row r="10" spans="1:43" ht="24.75" customHeight="1">
      <c r="A10" s="312" t="s">
        <v>157</v>
      </c>
      <c r="B10" s="313">
        <f>SUM(C10:D10)</f>
        <v>400</v>
      </c>
      <c r="C10" s="314">
        <v>350</v>
      </c>
      <c r="D10" s="315">
        <v>50</v>
      </c>
      <c r="E10" s="316">
        <f>SUM(F10:G10)</f>
        <v>350</v>
      </c>
      <c r="F10" s="314">
        <v>239</v>
      </c>
      <c r="G10" s="317">
        <v>111</v>
      </c>
      <c r="H10" s="318">
        <f>I10</f>
        <v>318.6666666666667</v>
      </c>
      <c r="I10" s="319">
        <f>F10/9*12</f>
        <v>318.6666666666667</v>
      </c>
      <c r="J10" s="320">
        <f>G10/9*12</f>
        <v>148</v>
      </c>
      <c r="K10" s="321">
        <f>L10+M10</f>
        <v>795</v>
      </c>
      <c r="L10" s="319">
        <v>558</v>
      </c>
      <c r="M10" s="322">
        <v>237</v>
      </c>
      <c r="N10" s="323"/>
      <c r="O10" s="322"/>
      <c r="P10" s="322"/>
      <c r="Q10" s="324">
        <f>R10+S10</f>
        <v>20</v>
      </c>
      <c r="R10" s="325">
        <v>18</v>
      </c>
      <c r="S10" s="326">
        <v>2</v>
      </c>
      <c r="T10" s="327">
        <f>U10+V10</f>
        <v>0</v>
      </c>
      <c r="U10" s="325"/>
      <c r="V10" s="328"/>
      <c r="W10" s="329">
        <f>X10+Y10</f>
        <v>600</v>
      </c>
      <c r="X10" s="330">
        <f>AG10-AA10-Z10</f>
        <v>350</v>
      </c>
      <c r="Y10" s="333">
        <f>AH10-AE10-AD10-AC10-AB10</f>
        <v>250</v>
      </c>
      <c r="Z10" s="331"/>
      <c r="AA10" s="330"/>
      <c r="AB10" s="330"/>
      <c r="AC10" s="330"/>
      <c r="AD10" s="330"/>
      <c r="AE10" s="739"/>
      <c r="AF10" s="745">
        <f>AG10+AH10</f>
        <v>600</v>
      </c>
      <c r="AG10" s="712">
        <v>350</v>
      </c>
      <c r="AH10" s="732">
        <v>250</v>
      </c>
      <c r="AI10" s="713">
        <f>AJ10+AK10</f>
        <v>0</v>
      </c>
      <c r="AJ10" s="714"/>
      <c r="AK10" s="715"/>
      <c r="AL10" s="716">
        <f>AM10+AN10</f>
        <v>620</v>
      </c>
      <c r="AM10" s="332">
        <f>R10+AG10</f>
        <v>368</v>
      </c>
      <c r="AN10" s="755">
        <f>S10+AH10</f>
        <v>252</v>
      </c>
      <c r="AO10" s="745">
        <f>AP10+AQ10</f>
        <v>0</v>
      </c>
      <c r="AP10" s="330">
        <f>U10+AJ10</f>
        <v>0</v>
      </c>
      <c r="AQ10" s="333">
        <f>V10+AK10</f>
        <v>0</v>
      </c>
    </row>
    <row r="11" spans="1:43" ht="24.75" customHeight="1">
      <c r="A11" s="334" t="s">
        <v>158</v>
      </c>
      <c r="B11" s="335">
        <f>SUM(C11:D11)</f>
        <v>33000</v>
      </c>
      <c r="C11" s="336"/>
      <c r="D11" s="337">
        <v>33000</v>
      </c>
      <c r="E11" s="338">
        <f>SUM(F11:G11)</f>
        <v>30198</v>
      </c>
      <c r="F11" s="336"/>
      <c r="G11" s="339">
        <v>30198</v>
      </c>
      <c r="H11" s="318">
        <f aca="true" t="shared" si="0" ref="H11:H18">I11+J11</f>
        <v>40264</v>
      </c>
      <c r="I11" s="319">
        <f aca="true" t="shared" si="1" ref="I11:J26">F11/9*12</f>
        <v>0</v>
      </c>
      <c r="J11" s="320">
        <f t="shared" si="1"/>
        <v>40264</v>
      </c>
      <c r="K11" s="340">
        <f aca="true" t="shared" si="2" ref="K11:K30">L11+M11</f>
        <v>25434</v>
      </c>
      <c r="L11" s="341"/>
      <c r="M11" s="342">
        <v>25434</v>
      </c>
      <c r="N11" s="343"/>
      <c r="O11" s="342"/>
      <c r="P11" s="342"/>
      <c r="Q11" s="344">
        <f aca="true" t="shared" si="3" ref="Q11:Q30">R11+S11</f>
        <v>834</v>
      </c>
      <c r="R11" s="345"/>
      <c r="S11" s="346">
        <f>934-100</f>
        <v>834</v>
      </c>
      <c r="T11" s="347">
        <f aca="true" t="shared" si="4" ref="T11:T30">U11+V11</f>
        <v>163</v>
      </c>
      <c r="U11" s="345"/>
      <c r="V11" s="348">
        <v>163</v>
      </c>
      <c r="W11" s="344">
        <f aca="true" t="shared" si="5" ref="W11:W26">X11+Y11</f>
        <v>15117</v>
      </c>
      <c r="X11" s="330">
        <f aca="true" t="shared" si="6" ref="X11:X26">AG11-AA11-Z11</f>
        <v>0</v>
      </c>
      <c r="Y11" s="333">
        <f aca="true" t="shared" si="7" ref="Y11:Y26">AH11-AE11-AD11-AC11-AB11</f>
        <v>15117</v>
      </c>
      <c r="Z11" s="363"/>
      <c r="AA11" s="345"/>
      <c r="AB11" s="345">
        <v>63</v>
      </c>
      <c r="AC11" s="345">
        <v>10715</v>
      </c>
      <c r="AD11" s="345">
        <v>1105</v>
      </c>
      <c r="AE11" s="348">
        <v>6100</v>
      </c>
      <c r="AF11" s="746">
        <f aca="true" t="shared" si="8" ref="AF11:AF29">AG11+AH11</f>
        <v>33100</v>
      </c>
      <c r="AG11" s="717"/>
      <c r="AH11" s="747">
        <v>33100</v>
      </c>
      <c r="AI11" s="713">
        <f aca="true" t="shared" si="9" ref="AI11:AI30">AJ11+AK11</f>
        <v>10250</v>
      </c>
      <c r="AJ11" s="714"/>
      <c r="AK11" s="715">
        <v>10250</v>
      </c>
      <c r="AL11" s="718">
        <f aca="true" t="shared" si="10" ref="AL11:AL30">AM11+AN11</f>
        <v>33934</v>
      </c>
      <c r="AM11" s="349">
        <f aca="true" t="shared" si="11" ref="AM11:AN30">R11+AG11</f>
        <v>0</v>
      </c>
      <c r="AN11" s="756">
        <f t="shared" si="11"/>
        <v>33934</v>
      </c>
      <c r="AO11" s="746">
        <f aca="true" t="shared" si="12" ref="AO11:AO30">AP11+AQ11</f>
        <v>10413</v>
      </c>
      <c r="AP11" s="345">
        <f aca="true" t="shared" si="13" ref="AP11:AQ30">U11+AJ11</f>
        <v>0</v>
      </c>
      <c r="AQ11" s="346">
        <f t="shared" si="13"/>
        <v>10413</v>
      </c>
    </row>
    <row r="12" spans="1:43" ht="24.75" customHeight="1">
      <c r="A12" s="334" t="s">
        <v>159</v>
      </c>
      <c r="B12" s="335">
        <f aca="true" t="shared" si="14" ref="B12:B26">SUM(C12:D12)</f>
        <v>5357</v>
      </c>
      <c r="C12" s="336">
        <v>5357</v>
      </c>
      <c r="D12" s="337"/>
      <c r="E12" s="338">
        <f aca="true" t="shared" si="15" ref="E12:E26">SUM(F12:G12)</f>
        <v>7163</v>
      </c>
      <c r="F12" s="336">
        <v>7163</v>
      </c>
      <c r="G12" s="339"/>
      <c r="H12" s="318">
        <f t="shared" si="0"/>
        <v>9550.666666666668</v>
      </c>
      <c r="I12" s="319">
        <f t="shared" si="1"/>
        <v>9550.666666666668</v>
      </c>
      <c r="J12" s="320">
        <f t="shared" si="1"/>
        <v>0</v>
      </c>
      <c r="K12" s="340">
        <f t="shared" si="2"/>
        <v>7471</v>
      </c>
      <c r="L12" s="341">
        <v>7471</v>
      </c>
      <c r="M12" s="342"/>
      <c r="N12" s="343"/>
      <c r="O12" s="342"/>
      <c r="P12" s="342"/>
      <c r="Q12" s="344">
        <f t="shared" si="3"/>
        <v>317</v>
      </c>
      <c r="R12" s="345">
        <f>349-32</f>
        <v>317</v>
      </c>
      <c r="S12" s="346"/>
      <c r="T12" s="347">
        <f t="shared" si="4"/>
        <v>146</v>
      </c>
      <c r="U12" s="345">
        <v>146</v>
      </c>
      <c r="V12" s="348"/>
      <c r="W12" s="344">
        <f t="shared" si="5"/>
        <v>9555</v>
      </c>
      <c r="X12" s="330">
        <f>AG12-AA12-Z12</f>
        <v>9555</v>
      </c>
      <c r="Y12" s="333">
        <f t="shared" si="7"/>
        <v>0</v>
      </c>
      <c r="Z12" s="363">
        <v>150</v>
      </c>
      <c r="AA12" s="345">
        <v>327</v>
      </c>
      <c r="AB12" s="345"/>
      <c r="AC12" s="345"/>
      <c r="AD12" s="345"/>
      <c r="AE12" s="348"/>
      <c r="AF12" s="746">
        <f t="shared" si="8"/>
        <v>10032</v>
      </c>
      <c r="AG12" s="717">
        <f>10000+32</f>
        <v>10032</v>
      </c>
      <c r="AH12" s="747"/>
      <c r="AI12" s="713">
        <f t="shared" si="9"/>
        <v>11500</v>
      </c>
      <c r="AJ12" s="714">
        <v>11500</v>
      </c>
      <c r="AK12" s="715"/>
      <c r="AL12" s="718">
        <f t="shared" si="10"/>
        <v>10349</v>
      </c>
      <c r="AM12" s="349">
        <f t="shared" si="11"/>
        <v>10349</v>
      </c>
      <c r="AN12" s="756">
        <f t="shared" si="11"/>
        <v>0</v>
      </c>
      <c r="AO12" s="746">
        <f t="shared" si="12"/>
        <v>11646</v>
      </c>
      <c r="AP12" s="345">
        <f t="shared" si="13"/>
        <v>11646</v>
      </c>
      <c r="AQ12" s="346">
        <f t="shared" si="13"/>
        <v>0</v>
      </c>
    </row>
    <row r="13" spans="1:43" ht="24.75" customHeight="1">
      <c r="A13" s="334" t="s">
        <v>160</v>
      </c>
      <c r="B13" s="335">
        <f t="shared" si="14"/>
        <v>2000</v>
      </c>
      <c r="C13" s="336">
        <v>1000</v>
      </c>
      <c r="D13" s="337">
        <v>1000</v>
      </c>
      <c r="E13" s="338">
        <f t="shared" si="15"/>
        <v>1180</v>
      </c>
      <c r="F13" s="336">
        <v>1154</v>
      </c>
      <c r="G13" s="339">
        <v>26</v>
      </c>
      <c r="H13" s="318">
        <f t="shared" si="0"/>
        <v>1573.3333333333335</v>
      </c>
      <c r="I13" s="319">
        <f t="shared" si="1"/>
        <v>1538.6666666666667</v>
      </c>
      <c r="J13" s="320">
        <f t="shared" si="1"/>
        <v>34.666666666666664</v>
      </c>
      <c r="K13" s="340">
        <f t="shared" si="2"/>
        <v>902</v>
      </c>
      <c r="L13" s="341">
        <v>853</v>
      </c>
      <c r="M13" s="342">
        <v>49</v>
      </c>
      <c r="N13" s="343"/>
      <c r="O13" s="342"/>
      <c r="P13" s="342"/>
      <c r="Q13" s="344">
        <f t="shared" si="3"/>
        <v>66</v>
      </c>
      <c r="R13" s="345">
        <v>66</v>
      </c>
      <c r="S13" s="346"/>
      <c r="T13" s="347">
        <f t="shared" si="4"/>
        <v>0</v>
      </c>
      <c r="U13" s="345"/>
      <c r="V13" s="348"/>
      <c r="W13" s="344">
        <f t="shared" si="5"/>
        <v>1500</v>
      </c>
      <c r="X13" s="330">
        <f t="shared" si="6"/>
        <v>1500</v>
      </c>
      <c r="Y13" s="333">
        <f t="shared" si="7"/>
        <v>0</v>
      </c>
      <c r="Z13" s="363"/>
      <c r="AA13" s="345"/>
      <c r="AB13" s="345"/>
      <c r="AC13" s="345"/>
      <c r="AD13" s="345"/>
      <c r="AE13" s="348"/>
      <c r="AF13" s="746">
        <f t="shared" si="8"/>
        <v>1500</v>
      </c>
      <c r="AG13" s="717">
        <f>2500-1000</f>
        <v>1500</v>
      </c>
      <c r="AH13" s="747"/>
      <c r="AI13" s="713">
        <f t="shared" si="9"/>
        <v>0</v>
      </c>
      <c r="AJ13" s="714"/>
      <c r="AK13" s="715"/>
      <c r="AL13" s="718">
        <f t="shared" si="10"/>
        <v>1566</v>
      </c>
      <c r="AM13" s="349">
        <f t="shared" si="11"/>
        <v>1566</v>
      </c>
      <c r="AN13" s="756">
        <f t="shared" si="11"/>
        <v>0</v>
      </c>
      <c r="AO13" s="746">
        <f t="shared" si="12"/>
        <v>0</v>
      </c>
      <c r="AP13" s="345">
        <f t="shared" si="13"/>
        <v>0</v>
      </c>
      <c r="AQ13" s="346">
        <f t="shared" si="13"/>
        <v>0</v>
      </c>
    </row>
    <row r="14" spans="1:43" ht="24.75" customHeight="1">
      <c r="A14" s="334" t="s">
        <v>161</v>
      </c>
      <c r="B14" s="335">
        <f t="shared" si="14"/>
        <v>30</v>
      </c>
      <c r="C14" s="336"/>
      <c r="D14" s="337">
        <v>30</v>
      </c>
      <c r="E14" s="338"/>
      <c r="F14" s="336"/>
      <c r="G14" s="339"/>
      <c r="H14" s="318"/>
      <c r="I14" s="319">
        <f t="shared" si="1"/>
        <v>0</v>
      </c>
      <c r="J14" s="320">
        <f t="shared" si="1"/>
        <v>0</v>
      </c>
      <c r="K14" s="340">
        <f t="shared" si="2"/>
        <v>38</v>
      </c>
      <c r="L14" s="341">
        <v>21</v>
      </c>
      <c r="M14" s="342">
        <v>17</v>
      </c>
      <c r="N14" s="343"/>
      <c r="O14" s="342"/>
      <c r="P14" s="342"/>
      <c r="Q14" s="344">
        <f t="shared" si="3"/>
        <v>0</v>
      </c>
      <c r="R14" s="345"/>
      <c r="S14" s="346"/>
      <c r="T14" s="347">
        <f t="shared" si="4"/>
        <v>0</v>
      </c>
      <c r="U14" s="345"/>
      <c r="V14" s="348"/>
      <c r="W14" s="344">
        <f t="shared" si="5"/>
        <v>0</v>
      </c>
      <c r="X14" s="330">
        <f t="shared" si="6"/>
        <v>0</v>
      </c>
      <c r="Y14" s="333">
        <f t="shared" si="7"/>
        <v>0</v>
      </c>
      <c r="Z14" s="363"/>
      <c r="AA14" s="345"/>
      <c r="AB14" s="345"/>
      <c r="AC14" s="345"/>
      <c r="AD14" s="345"/>
      <c r="AE14" s="348"/>
      <c r="AF14" s="746">
        <f t="shared" si="8"/>
        <v>0</v>
      </c>
      <c r="AG14" s="717"/>
      <c r="AH14" s="747"/>
      <c r="AI14" s="713">
        <f t="shared" si="9"/>
        <v>0</v>
      </c>
      <c r="AJ14" s="714"/>
      <c r="AK14" s="715"/>
      <c r="AL14" s="718">
        <f t="shared" si="10"/>
        <v>0</v>
      </c>
      <c r="AM14" s="349">
        <f t="shared" si="11"/>
        <v>0</v>
      </c>
      <c r="AN14" s="756">
        <f t="shared" si="11"/>
        <v>0</v>
      </c>
      <c r="AO14" s="746">
        <f t="shared" si="12"/>
        <v>0</v>
      </c>
      <c r="AP14" s="345">
        <f t="shared" si="13"/>
        <v>0</v>
      </c>
      <c r="AQ14" s="346">
        <f t="shared" si="13"/>
        <v>0</v>
      </c>
    </row>
    <row r="15" spans="1:43" ht="24.75" customHeight="1">
      <c r="A15" s="334" t="s">
        <v>162</v>
      </c>
      <c r="B15" s="335">
        <f t="shared" si="14"/>
        <v>0</v>
      </c>
      <c r="C15" s="336"/>
      <c r="D15" s="337"/>
      <c r="E15" s="338"/>
      <c r="F15" s="336"/>
      <c r="G15" s="339"/>
      <c r="H15" s="318"/>
      <c r="I15" s="319">
        <f t="shared" si="1"/>
        <v>0</v>
      </c>
      <c r="J15" s="320">
        <f t="shared" si="1"/>
        <v>0</v>
      </c>
      <c r="K15" s="340">
        <f t="shared" si="2"/>
        <v>0</v>
      </c>
      <c r="L15" s="341"/>
      <c r="M15" s="342"/>
      <c r="N15" s="343"/>
      <c r="O15" s="342"/>
      <c r="P15" s="342"/>
      <c r="Q15" s="344">
        <f t="shared" si="3"/>
        <v>0</v>
      </c>
      <c r="R15" s="345"/>
      <c r="S15" s="346"/>
      <c r="T15" s="347">
        <f t="shared" si="4"/>
        <v>0</v>
      </c>
      <c r="U15" s="345"/>
      <c r="V15" s="348"/>
      <c r="W15" s="344">
        <f t="shared" si="5"/>
        <v>0</v>
      </c>
      <c r="X15" s="330">
        <f t="shared" si="6"/>
        <v>0</v>
      </c>
      <c r="Y15" s="333">
        <f t="shared" si="7"/>
        <v>0</v>
      </c>
      <c r="Z15" s="363"/>
      <c r="AA15" s="345"/>
      <c r="AB15" s="345"/>
      <c r="AC15" s="345"/>
      <c r="AD15" s="345"/>
      <c r="AE15" s="348"/>
      <c r="AF15" s="746">
        <f t="shared" si="8"/>
        <v>0</v>
      </c>
      <c r="AG15" s="717"/>
      <c r="AH15" s="747"/>
      <c r="AI15" s="713">
        <f t="shared" si="9"/>
        <v>0</v>
      </c>
      <c r="AJ15" s="714"/>
      <c r="AK15" s="715"/>
      <c r="AL15" s="718">
        <f t="shared" si="10"/>
        <v>0</v>
      </c>
      <c r="AM15" s="349">
        <f t="shared" si="11"/>
        <v>0</v>
      </c>
      <c r="AN15" s="756">
        <f t="shared" si="11"/>
        <v>0</v>
      </c>
      <c r="AO15" s="746">
        <f t="shared" si="12"/>
        <v>0</v>
      </c>
      <c r="AP15" s="345">
        <f t="shared" si="13"/>
        <v>0</v>
      </c>
      <c r="AQ15" s="346">
        <f t="shared" si="13"/>
        <v>0</v>
      </c>
    </row>
    <row r="16" spans="1:43" ht="24.75" customHeight="1">
      <c r="A16" s="334" t="s">
        <v>163</v>
      </c>
      <c r="B16" s="335">
        <f t="shared" si="14"/>
        <v>6500</v>
      </c>
      <c r="C16" s="336">
        <v>1500</v>
      </c>
      <c r="D16" s="337">
        <v>5000</v>
      </c>
      <c r="E16" s="338">
        <f t="shared" si="15"/>
        <v>3412</v>
      </c>
      <c r="F16" s="336">
        <v>975</v>
      </c>
      <c r="G16" s="339">
        <v>2437</v>
      </c>
      <c r="H16" s="318">
        <f t="shared" si="0"/>
        <v>4549.333333333333</v>
      </c>
      <c r="I16" s="319">
        <f t="shared" si="1"/>
        <v>1300</v>
      </c>
      <c r="J16" s="320">
        <f t="shared" si="1"/>
        <v>3249.333333333333</v>
      </c>
      <c r="K16" s="340">
        <f t="shared" si="2"/>
        <v>1150</v>
      </c>
      <c r="L16" s="341">
        <v>863</v>
      </c>
      <c r="M16" s="342">
        <v>287</v>
      </c>
      <c r="N16" s="343"/>
      <c r="O16" s="342"/>
      <c r="P16" s="342"/>
      <c r="Q16" s="344">
        <f t="shared" si="3"/>
        <v>124</v>
      </c>
      <c r="R16" s="345">
        <f>128-4</f>
        <v>124</v>
      </c>
      <c r="S16" s="346"/>
      <c r="T16" s="347">
        <f t="shared" si="4"/>
        <v>0</v>
      </c>
      <c r="U16" s="345"/>
      <c r="V16" s="348"/>
      <c r="W16" s="344">
        <f t="shared" si="5"/>
        <v>3918</v>
      </c>
      <c r="X16" s="330">
        <f t="shared" si="6"/>
        <v>1427</v>
      </c>
      <c r="Y16" s="333">
        <f t="shared" si="7"/>
        <v>2491</v>
      </c>
      <c r="Z16" s="363"/>
      <c r="AA16" s="345">
        <v>77</v>
      </c>
      <c r="AB16" s="345">
        <v>73</v>
      </c>
      <c r="AC16" s="345">
        <v>1331</v>
      </c>
      <c r="AD16" s="345">
        <v>1105</v>
      </c>
      <c r="AE16" s="348"/>
      <c r="AF16" s="746">
        <f t="shared" si="8"/>
        <v>6504</v>
      </c>
      <c r="AG16" s="717">
        <v>1504</v>
      </c>
      <c r="AH16" s="747">
        <v>5000</v>
      </c>
      <c r="AI16" s="713">
        <f t="shared" si="9"/>
        <v>450</v>
      </c>
      <c r="AJ16" s="714">
        <v>200</v>
      </c>
      <c r="AK16" s="715">
        <v>250</v>
      </c>
      <c r="AL16" s="718">
        <f t="shared" si="10"/>
        <v>6628</v>
      </c>
      <c r="AM16" s="349">
        <f t="shared" si="11"/>
        <v>1628</v>
      </c>
      <c r="AN16" s="756">
        <f t="shared" si="11"/>
        <v>5000</v>
      </c>
      <c r="AO16" s="746">
        <f t="shared" si="12"/>
        <v>450</v>
      </c>
      <c r="AP16" s="345">
        <f t="shared" si="13"/>
        <v>200</v>
      </c>
      <c r="AQ16" s="346">
        <f t="shared" si="13"/>
        <v>250</v>
      </c>
    </row>
    <row r="17" spans="1:43" ht="24.75" customHeight="1">
      <c r="A17" s="334" t="s">
        <v>164</v>
      </c>
      <c r="B17" s="335">
        <f t="shared" si="14"/>
        <v>240</v>
      </c>
      <c r="C17" s="336">
        <v>0</v>
      </c>
      <c r="D17" s="337">
        <v>240</v>
      </c>
      <c r="E17" s="338">
        <f t="shared" si="15"/>
        <v>27</v>
      </c>
      <c r="F17" s="336"/>
      <c r="G17" s="339">
        <v>27</v>
      </c>
      <c r="H17" s="318">
        <f t="shared" si="0"/>
        <v>36</v>
      </c>
      <c r="I17" s="319">
        <f t="shared" si="1"/>
        <v>0</v>
      </c>
      <c r="J17" s="320">
        <f t="shared" si="1"/>
        <v>36</v>
      </c>
      <c r="K17" s="340">
        <f t="shared" si="2"/>
        <v>205</v>
      </c>
      <c r="L17" s="341">
        <v>58</v>
      </c>
      <c r="M17" s="342">
        <v>147</v>
      </c>
      <c r="N17" s="343"/>
      <c r="O17" s="342"/>
      <c r="P17" s="342"/>
      <c r="Q17" s="344">
        <f t="shared" si="3"/>
        <v>0</v>
      </c>
      <c r="R17" s="345"/>
      <c r="S17" s="346"/>
      <c r="T17" s="347">
        <f t="shared" si="4"/>
        <v>0</v>
      </c>
      <c r="U17" s="345"/>
      <c r="V17" s="348"/>
      <c r="W17" s="344">
        <f t="shared" si="5"/>
        <v>220</v>
      </c>
      <c r="X17" s="330">
        <f t="shared" si="6"/>
        <v>100</v>
      </c>
      <c r="Y17" s="333">
        <f t="shared" si="7"/>
        <v>120</v>
      </c>
      <c r="Z17" s="363"/>
      <c r="AA17" s="345"/>
      <c r="AB17" s="345"/>
      <c r="AC17" s="345"/>
      <c r="AD17" s="345"/>
      <c r="AE17" s="348"/>
      <c r="AF17" s="746">
        <f t="shared" si="8"/>
        <v>220</v>
      </c>
      <c r="AG17" s="717">
        <v>100</v>
      </c>
      <c r="AH17" s="747">
        <v>120</v>
      </c>
      <c r="AI17" s="713">
        <f t="shared" si="9"/>
        <v>0</v>
      </c>
      <c r="AJ17" s="714"/>
      <c r="AK17" s="715"/>
      <c r="AL17" s="718">
        <f t="shared" si="10"/>
        <v>220</v>
      </c>
      <c r="AM17" s="349">
        <f t="shared" si="11"/>
        <v>100</v>
      </c>
      <c r="AN17" s="756">
        <f t="shared" si="11"/>
        <v>120</v>
      </c>
      <c r="AO17" s="746">
        <f t="shared" si="12"/>
        <v>0</v>
      </c>
      <c r="AP17" s="345">
        <f t="shared" si="13"/>
        <v>0</v>
      </c>
      <c r="AQ17" s="346">
        <f t="shared" si="13"/>
        <v>0</v>
      </c>
    </row>
    <row r="18" spans="1:43" ht="24.75" customHeight="1">
      <c r="A18" s="334" t="s">
        <v>165</v>
      </c>
      <c r="B18" s="335">
        <f t="shared" si="14"/>
        <v>8500</v>
      </c>
      <c r="C18" s="336">
        <v>3000</v>
      </c>
      <c r="D18" s="337">
        <v>5500</v>
      </c>
      <c r="E18" s="338">
        <f t="shared" si="15"/>
        <v>3752</v>
      </c>
      <c r="F18" s="336">
        <v>1473</v>
      </c>
      <c r="G18" s="339">
        <v>2279</v>
      </c>
      <c r="H18" s="318">
        <f t="shared" si="0"/>
        <v>5002.666666666667</v>
      </c>
      <c r="I18" s="319">
        <f t="shared" si="1"/>
        <v>1964</v>
      </c>
      <c r="J18" s="320">
        <f t="shared" si="1"/>
        <v>3038.666666666667</v>
      </c>
      <c r="K18" s="340">
        <f t="shared" si="2"/>
        <v>3747</v>
      </c>
      <c r="L18" s="341">
        <v>1158</v>
      </c>
      <c r="M18" s="342">
        <v>2589</v>
      </c>
      <c r="N18" s="343"/>
      <c r="O18" s="342"/>
      <c r="P18" s="342"/>
      <c r="Q18" s="344">
        <f t="shared" si="3"/>
        <v>101</v>
      </c>
      <c r="R18" s="345">
        <v>51</v>
      </c>
      <c r="S18" s="346">
        <v>50</v>
      </c>
      <c r="T18" s="347">
        <f t="shared" si="4"/>
        <v>53</v>
      </c>
      <c r="U18" s="345">
        <v>25</v>
      </c>
      <c r="V18" s="348">
        <v>28</v>
      </c>
      <c r="W18" s="344">
        <f t="shared" si="5"/>
        <v>4512</v>
      </c>
      <c r="X18" s="330">
        <f t="shared" si="6"/>
        <v>2843</v>
      </c>
      <c r="Y18" s="333">
        <f t="shared" si="7"/>
        <v>1669</v>
      </c>
      <c r="Z18" s="363"/>
      <c r="AA18" s="345">
        <v>157</v>
      </c>
      <c r="AB18" s="345">
        <v>73</v>
      </c>
      <c r="AC18" s="345">
        <v>2153</v>
      </c>
      <c r="AD18" s="345">
        <v>1105</v>
      </c>
      <c r="AE18" s="348"/>
      <c r="AF18" s="746">
        <f t="shared" si="8"/>
        <v>8000</v>
      </c>
      <c r="AG18" s="717">
        <v>3000</v>
      </c>
      <c r="AH18" s="747">
        <v>5000</v>
      </c>
      <c r="AI18" s="713">
        <f t="shared" si="9"/>
        <v>850</v>
      </c>
      <c r="AJ18" s="714">
        <v>500</v>
      </c>
      <c r="AK18" s="715">
        <v>350</v>
      </c>
      <c r="AL18" s="718">
        <f t="shared" si="10"/>
        <v>8101</v>
      </c>
      <c r="AM18" s="349">
        <f t="shared" si="11"/>
        <v>3051</v>
      </c>
      <c r="AN18" s="756">
        <f t="shared" si="11"/>
        <v>5050</v>
      </c>
      <c r="AO18" s="746">
        <f t="shared" si="12"/>
        <v>903</v>
      </c>
      <c r="AP18" s="345">
        <f t="shared" si="13"/>
        <v>525</v>
      </c>
      <c r="AQ18" s="346">
        <f t="shared" si="13"/>
        <v>378</v>
      </c>
    </row>
    <row r="19" spans="1:43" ht="24.75" customHeight="1">
      <c r="A19" s="334" t="s">
        <v>166</v>
      </c>
      <c r="B19" s="335">
        <f t="shared" si="14"/>
        <v>2500</v>
      </c>
      <c r="C19" s="336">
        <v>500</v>
      </c>
      <c r="D19" s="337">
        <v>2000</v>
      </c>
      <c r="E19" s="338">
        <f t="shared" si="15"/>
        <v>0</v>
      </c>
      <c r="F19" s="336"/>
      <c r="G19" s="339"/>
      <c r="H19" s="350"/>
      <c r="I19" s="319">
        <f t="shared" si="1"/>
        <v>0</v>
      </c>
      <c r="J19" s="320">
        <f t="shared" si="1"/>
        <v>0</v>
      </c>
      <c r="K19" s="340">
        <f t="shared" si="2"/>
        <v>836</v>
      </c>
      <c r="L19" s="341"/>
      <c r="M19" s="342">
        <v>836</v>
      </c>
      <c r="N19" s="343"/>
      <c r="O19" s="342"/>
      <c r="P19" s="342"/>
      <c r="Q19" s="344">
        <f t="shared" si="3"/>
        <v>6</v>
      </c>
      <c r="R19" s="345"/>
      <c r="S19" s="346">
        <v>6</v>
      </c>
      <c r="T19" s="347">
        <f t="shared" si="4"/>
        <v>0</v>
      </c>
      <c r="U19" s="345"/>
      <c r="V19" s="348"/>
      <c r="W19" s="344">
        <f t="shared" si="5"/>
        <v>477</v>
      </c>
      <c r="X19" s="330">
        <f t="shared" si="6"/>
        <v>477</v>
      </c>
      <c r="Y19" s="333">
        <f t="shared" si="7"/>
        <v>0</v>
      </c>
      <c r="Z19" s="363"/>
      <c r="AA19" s="345">
        <v>32</v>
      </c>
      <c r="AB19" s="345">
        <v>40</v>
      </c>
      <c r="AC19" s="345"/>
      <c r="AD19" s="345">
        <v>561</v>
      </c>
      <c r="AE19" s="348"/>
      <c r="AF19" s="746">
        <f t="shared" si="8"/>
        <v>1110</v>
      </c>
      <c r="AG19" s="717">
        <v>509</v>
      </c>
      <c r="AH19" s="747">
        <v>601</v>
      </c>
      <c r="AI19" s="713">
        <f t="shared" si="9"/>
        <v>0</v>
      </c>
      <c r="AJ19" s="714"/>
      <c r="AK19" s="715"/>
      <c r="AL19" s="718">
        <f t="shared" si="10"/>
        <v>1116</v>
      </c>
      <c r="AM19" s="349">
        <f t="shared" si="11"/>
        <v>509</v>
      </c>
      <c r="AN19" s="756">
        <f t="shared" si="11"/>
        <v>607</v>
      </c>
      <c r="AO19" s="746">
        <f t="shared" si="12"/>
        <v>0</v>
      </c>
      <c r="AP19" s="345">
        <f t="shared" si="13"/>
        <v>0</v>
      </c>
      <c r="AQ19" s="346">
        <f t="shared" si="13"/>
        <v>0</v>
      </c>
    </row>
    <row r="20" spans="1:43" ht="24.75" customHeight="1">
      <c r="A20" s="334" t="s">
        <v>322</v>
      </c>
      <c r="B20" s="335">
        <f t="shared" si="14"/>
        <v>2500</v>
      </c>
      <c r="C20" s="336"/>
      <c r="D20" s="337">
        <v>2500</v>
      </c>
      <c r="E20" s="338">
        <f t="shared" si="15"/>
        <v>511</v>
      </c>
      <c r="F20" s="336"/>
      <c r="G20" s="339">
        <v>511</v>
      </c>
      <c r="H20" s="350"/>
      <c r="I20" s="319">
        <f t="shared" si="1"/>
        <v>0</v>
      </c>
      <c r="J20" s="320">
        <f t="shared" si="1"/>
        <v>681.3333333333334</v>
      </c>
      <c r="K20" s="340">
        <f t="shared" si="2"/>
        <v>0</v>
      </c>
      <c r="L20" s="341"/>
      <c r="M20" s="342"/>
      <c r="N20" s="343"/>
      <c r="O20" s="342"/>
      <c r="P20" s="342"/>
      <c r="Q20" s="344">
        <f t="shared" si="3"/>
        <v>4</v>
      </c>
      <c r="R20" s="345"/>
      <c r="S20" s="346">
        <v>4</v>
      </c>
      <c r="T20" s="347">
        <f t="shared" si="4"/>
        <v>0</v>
      </c>
      <c r="U20" s="345"/>
      <c r="V20" s="348"/>
      <c r="W20" s="344">
        <f t="shared" si="5"/>
        <v>367</v>
      </c>
      <c r="X20" s="330">
        <f t="shared" si="6"/>
        <v>0</v>
      </c>
      <c r="Y20" s="333">
        <f t="shared" si="7"/>
        <v>367</v>
      </c>
      <c r="Z20" s="363"/>
      <c r="AA20" s="345"/>
      <c r="AB20" s="345">
        <v>73</v>
      </c>
      <c r="AC20" s="345">
        <v>335</v>
      </c>
      <c r="AD20" s="345">
        <v>725</v>
      </c>
      <c r="AE20" s="348"/>
      <c r="AF20" s="746">
        <f t="shared" si="8"/>
        <v>1500</v>
      </c>
      <c r="AG20" s="717"/>
      <c r="AH20" s="747">
        <v>1500</v>
      </c>
      <c r="AI20" s="713">
        <f t="shared" si="9"/>
        <v>550</v>
      </c>
      <c r="AJ20" s="714">
        <v>500</v>
      </c>
      <c r="AK20" s="715">
        <v>50</v>
      </c>
      <c r="AL20" s="718">
        <f t="shared" si="10"/>
        <v>1504</v>
      </c>
      <c r="AM20" s="349">
        <f t="shared" si="11"/>
        <v>0</v>
      </c>
      <c r="AN20" s="756">
        <f t="shared" si="11"/>
        <v>1504</v>
      </c>
      <c r="AO20" s="746">
        <f t="shared" si="12"/>
        <v>550</v>
      </c>
      <c r="AP20" s="345">
        <f t="shared" si="13"/>
        <v>500</v>
      </c>
      <c r="AQ20" s="346">
        <f t="shared" si="13"/>
        <v>50</v>
      </c>
    </row>
    <row r="21" spans="1:43" ht="24.75" customHeight="1">
      <c r="A21" s="334" t="s">
        <v>167</v>
      </c>
      <c r="B21" s="335">
        <f t="shared" si="14"/>
        <v>1000</v>
      </c>
      <c r="C21" s="336">
        <v>1000</v>
      </c>
      <c r="D21" s="337"/>
      <c r="E21" s="338">
        <f t="shared" si="15"/>
        <v>331</v>
      </c>
      <c r="F21" s="336">
        <v>331</v>
      </c>
      <c r="G21" s="339"/>
      <c r="H21" s="351"/>
      <c r="I21" s="319">
        <f t="shared" si="1"/>
        <v>441.33333333333337</v>
      </c>
      <c r="J21" s="320">
        <f t="shared" si="1"/>
        <v>0</v>
      </c>
      <c r="K21" s="340">
        <f t="shared" si="2"/>
        <v>0</v>
      </c>
      <c r="L21" s="341"/>
      <c r="M21" s="342"/>
      <c r="N21" s="343"/>
      <c r="O21" s="342"/>
      <c r="P21" s="342"/>
      <c r="Q21" s="344">
        <f t="shared" si="3"/>
        <v>0</v>
      </c>
      <c r="R21" s="345"/>
      <c r="S21" s="346"/>
      <c r="T21" s="347">
        <f t="shared" si="4"/>
        <v>0</v>
      </c>
      <c r="U21" s="345"/>
      <c r="V21" s="348"/>
      <c r="W21" s="344">
        <f t="shared" si="5"/>
        <v>1003</v>
      </c>
      <c r="X21" s="330">
        <f t="shared" si="6"/>
        <v>1003</v>
      </c>
      <c r="Y21" s="333">
        <f t="shared" si="7"/>
        <v>0</v>
      </c>
      <c r="Z21" s="363"/>
      <c r="AA21" s="345"/>
      <c r="AB21" s="345"/>
      <c r="AC21" s="345"/>
      <c r="AD21" s="345"/>
      <c r="AE21" s="348"/>
      <c r="AF21" s="746">
        <f t="shared" si="8"/>
        <v>1003</v>
      </c>
      <c r="AG21" s="717">
        <v>1003</v>
      </c>
      <c r="AH21" s="747"/>
      <c r="AI21" s="713">
        <f t="shared" si="9"/>
        <v>0</v>
      </c>
      <c r="AJ21" s="714"/>
      <c r="AK21" s="715"/>
      <c r="AL21" s="718">
        <f t="shared" si="10"/>
        <v>1003</v>
      </c>
      <c r="AM21" s="349">
        <f t="shared" si="11"/>
        <v>1003</v>
      </c>
      <c r="AN21" s="756">
        <f t="shared" si="11"/>
        <v>0</v>
      </c>
      <c r="AO21" s="746">
        <f t="shared" si="12"/>
        <v>0</v>
      </c>
      <c r="AP21" s="345">
        <f t="shared" si="13"/>
        <v>0</v>
      </c>
      <c r="AQ21" s="346">
        <f t="shared" si="13"/>
        <v>0</v>
      </c>
    </row>
    <row r="22" spans="1:43" ht="24.75" customHeight="1">
      <c r="A22" s="334" t="s">
        <v>168</v>
      </c>
      <c r="B22" s="335">
        <f t="shared" si="14"/>
        <v>8000</v>
      </c>
      <c r="C22" s="336">
        <v>3000</v>
      </c>
      <c r="D22" s="337">
        <v>5000</v>
      </c>
      <c r="E22" s="338">
        <f t="shared" si="15"/>
        <v>3702</v>
      </c>
      <c r="F22" s="336">
        <v>1248</v>
      </c>
      <c r="G22" s="339">
        <v>2454</v>
      </c>
      <c r="H22" s="351">
        <f>I22+J22</f>
        <v>4936</v>
      </c>
      <c r="I22" s="319">
        <f t="shared" si="1"/>
        <v>1664</v>
      </c>
      <c r="J22" s="320">
        <f t="shared" si="1"/>
        <v>3272</v>
      </c>
      <c r="K22" s="340">
        <f t="shared" si="2"/>
        <v>8047</v>
      </c>
      <c r="L22" s="341">
        <v>2158</v>
      </c>
      <c r="M22" s="342">
        <v>5889</v>
      </c>
      <c r="N22" s="343"/>
      <c r="O22" s="342"/>
      <c r="P22" s="342"/>
      <c r="Q22" s="344">
        <f t="shared" si="3"/>
        <v>0</v>
      </c>
      <c r="R22" s="345"/>
      <c r="S22" s="346"/>
      <c r="T22" s="347">
        <f t="shared" si="4"/>
        <v>0</v>
      </c>
      <c r="U22" s="345"/>
      <c r="V22" s="348"/>
      <c r="W22" s="344">
        <f t="shared" si="5"/>
        <v>5121</v>
      </c>
      <c r="X22" s="330">
        <f t="shared" si="6"/>
        <v>3000</v>
      </c>
      <c r="Y22" s="333">
        <f t="shared" si="7"/>
        <v>2121</v>
      </c>
      <c r="Z22" s="363"/>
      <c r="AA22" s="345"/>
      <c r="AB22" s="345">
        <v>70</v>
      </c>
      <c r="AC22" s="345">
        <v>1104</v>
      </c>
      <c r="AD22" s="345">
        <v>1105</v>
      </c>
      <c r="AE22" s="348"/>
      <c r="AF22" s="746">
        <f t="shared" si="8"/>
        <v>7400</v>
      </c>
      <c r="AG22" s="717">
        <v>3000</v>
      </c>
      <c r="AH22" s="747">
        <v>4400</v>
      </c>
      <c r="AI22" s="713">
        <f t="shared" si="9"/>
        <v>0</v>
      </c>
      <c r="AJ22" s="714"/>
      <c r="AK22" s="715"/>
      <c r="AL22" s="718">
        <f t="shared" si="10"/>
        <v>7400</v>
      </c>
      <c r="AM22" s="349">
        <f t="shared" si="11"/>
        <v>3000</v>
      </c>
      <c r="AN22" s="756">
        <f t="shared" si="11"/>
        <v>4400</v>
      </c>
      <c r="AO22" s="746">
        <f t="shared" si="12"/>
        <v>0</v>
      </c>
      <c r="AP22" s="345">
        <f t="shared" si="13"/>
        <v>0</v>
      </c>
      <c r="AQ22" s="346">
        <f t="shared" si="13"/>
        <v>0</v>
      </c>
    </row>
    <row r="23" spans="1:43" ht="24.75" customHeight="1">
      <c r="A23" s="334" t="s">
        <v>169</v>
      </c>
      <c r="B23" s="335">
        <f t="shared" si="14"/>
        <v>9090</v>
      </c>
      <c r="C23" s="336">
        <v>8090</v>
      </c>
      <c r="D23" s="337">
        <v>1000</v>
      </c>
      <c r="E23" s="338">
        <f t="shared" si="15"/>
        <v>9066</v>
      </c>
      <c r="F23" s="336">
        <v>8244</v>
      </c>
      <c r="G23" s="339">
        <v>822</v>
      </c>
      <c r="H23" s="351">
        <f>I23+J23</f>
        <v>12088</v>
      </c>
      <c r="I23" s="319">
        <f t="shared" si="1"/>
        <v>10992</v>
      </c>
      <c r="J23" s="320">
        <f t="shared" si="1"/>
        <v>1096</v>
      </c>
      <c r="K23" s="340">
        <f t="shared" si="2"/>
        <v>9993</v>
      </c>
      <c r="L23" s="341">
        <v>9944</v>
      </c>
      <c r="M23" s="342">
        <v>49</v>
      </c>
      <c r="N23" s="343"/>
      <c r="O23" s="342"/>
      <c r="P23" s="342"/>
      <c r="Q23" s="344">
        <f t="shared" si="3"/>
        <v>378</v>
      </c>
      <c r="R23" s="345">
        <f>378</f>
        <v>378</v>
      </c>
      <c r="S23" s="346"/>
      <c r="T23" s="347">
        <f t="shared" si="4"/>
        <v>0</v>
      </c>
      <c r="U23" s="345"/>
      <c r="V23" s="348"/>
      <c r="W23" s="344">
        <f t="shared" si="5"/>
        <v>9552</v>
      </c>
      <c r="X23" s="330">
        <f t="shared" si="6"/>
        <v>9170</v>
      </c>
      <c r="Y23" s="333">
        <f t="shared" si="7"/>
        <v>382</v>
      </c>
      <c r="Z23" s="363"/>
      <c r="AA23" s="345">
        <v>150</v>
      </c>
      <c r="AB23" s="345">
        <v>33</v>
      </c>
      <c r="AC23" s="345">
        <v>241</v>
      </c>
      <c r="AD23" s="345">
        <v>544</v>
      </c>
      <c r="AE23" s="348"/>
      <c r="AF23" s="746">
        <f t="shared" si="8"/>
        <v>10520</v>
      </c>
      <c r="AG23" s="717">
        <v>9320</v>
      </c>
      <c r="AH23" s="747">
        <v>1200</v>
      </c>
      <c r="AI23" s="713">
        <f t="shared" si="9"/>
        <v>0</v>
      </c>
      <c r="AJ23" s="714"/>
      <c r="AK23" s="715"/>
      <c r="AL23" s="718">
        <f t="shared" si="10"/>
        <v>10898</v>
      </c>
      <c r="AM23" s="349">
        <f t="shared" si="11"/>
        <v>9698</v>
      </c>
      <c r="AN23" s="756">
        <f t="shared" si="11"/>
        <v>1200</v>
      </c>
      <c r="AO23" s="746">
        <f t="shared" si="12"/>
        <v>0</v>
      </c>
      <c r="AP23" s="345">
        <f t="shared" si="13"/>
        <v>0</v>
      </c>
      <c r="AQ23" s="346">
        <f t="shared" si="13"/>
        <v>0</v>
      </c>
    </row>
    <row r="24" spans="1:43" ht="24.75" customHeight="1">
      <c r="A24" s="334" t="s">
        <v>170</v>
      </c>
      <c r="B24" s="335">
        <f t="shared" si="14"/>
        <v>5150</v>
      </c>
      <c r="C24" s="336">
        <v>650</v>
      </c>
      <c r="D24" s="337">
        <v>4500</v>
      </c>
      <c r="E24" s="338">
        <f t="shared" si="15"/>
        <v>2323</v>
      </c>
      <c r="F24" s="336">
        <v>536</v>
      </c>
      <c r="G24" s="339">
        <v>1787</v>
      </c>
      <c r="H24" s="351">
        <f>I24+J24</f>
        <v>3097.333333333333</v>
      </c>
      <c r="I24" s="319">
        <f t="shared" si="1"/>
        <v>714.6666666666667</v>
      </c>
      <c r="J24" s="320">
        <f t="shared" si="1"/>
        <v>2382.6666666666665</v>
      </c>
      <c r="K24" s="340">
        <f t="shared" si="2"/>
        <v>3044</v>
      </c>
      <c r="L24" s="341">
        <v>1610</v>
      </c>
      <c r="M24" s="342">
        <v>1434</v>
      </c>
      <c r="N24" s="343"/>
      <c r="O24" s="342"/>
      <c r="P24" s="342"/>
      <c r="Q24" s="344">
        <f t="shared" si="3"/>
        <v>86</v>
      </c>
      <c r="R24" s="345">
        <v>60</v>
      </c>
      <c r="S24" s="346">
        <v>26</v>
      </c>
      <c r="T24" s="347">
        <f t="shared" si="4"/>
        <v>5</v>
      </c>
      <c r="U24" s="345"/>
      <c r="V24" s="348">
        <v>5</v>
      </c>
      <c r="W24" s="344">
        <f t="shared" si="5"/>
        <v>2245</v>
      </c>
      <c r="X24" s="330">
        <f t="shared" si="6"/>
        <v>923</v>
      </c>
      <c r="Y24" s="333">
        <f t="shared" si="7"/>
        <v>1322</v>
      </c>
      <c r="Z24" s="363"/>
      <c r="AA24" s="345">
        <v>77</v>
      </c>
      <c r="AB24" s="345">
        <v>73</v>
      </c>
      <c r="AC24" s="345"/>
      <c r="AD24" s="345">
        <v>1105</v>
      </c>
      <c r="AE24" s="348"/>
      <c r="AF24" s="746">
        <f t="shared" si="8"/>
        <v>3500</v>
      </c>
      <c r="AG24" s="717">
        <v>1000</v>
      </c>
      <c r="AH24" s="747">
        <v>2500</v>
      </c>
      <c r="AI24" s="713">
        <f t="shared" si="9"/>
        <v>200</v>
      </c>
      <c r="AJ24" s="714">
        <v>100</v>
      </c>
      <c r="AK24" s="715">
        <v>100</v>
      </c>
      <c r="AL24" s="718">
        <f t="shared" si="10"/>
        <v>3586</v>
      </c>
      <c r="AM24" s="349">
        <f t="shared" si="11"/>
        <v>1060</v>
      </c>
      <c r="AN24" s="756">
        <f t="shared" si="11"/>
        <v>2526</v>
      </c>
      <c r="AO24" s="746">
        <f t="shared" si="12"/>
        <v>205</v>
      </c>
      <c r="AP24" s="345">
        <f t="shared" si="13"/>
        <v>100</v>
      </c>
      <c r="AQ24" s="346">
        <f t="shared" si="13"/>
        <v>105</v>
      </c>
    </row>
    <row r="25" spans="1:43" ht="24.75" customHeight="1">
      <c r="A25" s="334" t="s">
        <v>171</v>
      </c>
      <c r="B25" s="335">
        <f t="shared" si="14"/>
        <v>8000</v>
      </c>
      <c r="C25" s="336">
        <v>3000</v>
      </c>
      <c r="D25" s="337">
        <v>5000</v>
      </c>
      <c r="E25" s="338">
        <f t="shared" si="15"/>
        <v>5183</v>
      </c>
      <c r="F25" s="336">
        <v>2613</v>
      </c>
      <c r="G25" s="339">
        <v>2570</v>
      </c>
      <c r="H25" s="351">
        <f>I25+J25</f>
        <v>6910.666666666666</v>
      </c>
      <c r="I25" s="319">
        <f t="shared" si="1"/>
        <v>3484</v>
      </c>
      <c r="J25" s="320">
        <f t="shared" si="1"/>
        <v>3426.6666666666665</v>
      </c>
      <c r="K25" s="340">
        <f t="shared" si="2"/>
        <v>3271</v>
      </c>
      <c r="L25" s="341">
        <v>2083</v>
      </c>
      <c r="M25" s="342">
        <v>1188</v>
      </c>
      <c r="N25" s="343"/>
      <c r="O25" s="342"/>
      <c r="P25" s="342"/>
      <c r="Q25" s="344">
        <f t="shared" si="3"/>
        <v>175</v>
      </c>
      <c r="R25" s="345">
        <f>176-1</f>
        <v>175</v>
      </c>
      <c r="S25" s="346"/>
      <c r="T25" s="347">
        <f t="shared" si="4"/>
        <v>20</v>
      </c>
      <c r="U25" s="345">
        <v>10</v>
      </c>
      <c r="V25" s="348">
        <v>10</v>
      </c>
      <c r="W25" s="344">
        <f t="shared" si="5"/>
        <v>4636</v>
      </c>
      <c r="X25" s="330">
        <f t="shared" si="6"/>
        <v>3779</v>
      </c>
      <c r="Y25" s="333">
        <f t="shared" si="7"/>
        <v>857</v>
      </c>
      <c r="Z25" s="363"/>
      <c r="AA25" s="345">
        <v>222</v>
      </c>
      <c r="AB25" s="345">
        <v>73</v>
      </c>
      <c r="AC25" s="345">
        <v>1465</v>
      </c>
      <c r="AD25" s="345">
        <v>1105</v>
      </c>
      <c r="AE25" s="348"/>
      <c r="AF25" s="746">
        <f t="shared" si="8"/>
        <v>7501</v>
      </c>
      <c r="AG25" s="717">
        <f>3000+1001</f>
        <v>4001</v>
      </c>
      <c r="AH25" s="747">
        <v>3500</v>
      </c>
      <c r="AI25" s="713">
        <f t="shared" si="9"/>
        <v>200</v>
      </c>
      <c r="AJ25" s="714">
        <v>100</v>
      </c>
      <c r="AK25" s="715">
        <v>100</v>
      </c>
      <c r="AL25" s="718">
        <f t="shared" si="10"/>
        <v>7676</v>
      </c>
      <c r="AM25" s="349">
        <f t="shared" si="11"/>
        <v>4176</v>
      </c>
      <c r="AN25" s="756">
        <f t="shared" si="11"/>
        <v>3500</v>
      </c>
      <c r="AO25" s="746">
        <f t="shared" si="12"/>
        <v>220</v>
      </c>
      <c r="AP25" s="345">
        <f t="shared" si="13"/>
        <v>110</v>
      </c>
      <c r="AQ25" s="346">
        <f t="shared" si="13"/>
        <v>110</v>
      </c>
    </row>
    <row r="26" spans="1:43" ht="24.75" customHeight="1" thickBot="1">
      <c r="A26" s="352" t="s">
        <v>172</v>
      </c>
      <c r="B26" s="353">
        <f t="shared" si="14"/>
        <v>5627</v>
      </c>
      <c r="C26" s="354">
        <v>500</v>
      </c>
      <c r="D26" s="355">
        <v>5127</v>
      </c>
      <c r="E26" s="356">
        <f t="shared" si="15"/>
        <v>3442</v>
      </c>
      <c r="F26" s="354">
        <v>290</v>
      </c>
      <c r="G26" s="357">
        <v>3152</v>
      </c>
      <c r="H26" s="358">
        <f>I26+J26</f>
        <v>4589.333333333334</v>
      </c>
      <c r="I26" s="359">
        <f t="shared" si="1"/>
        <v>386.66666666666663</v>
      </c>
      <c r="J26" s="360">
        <f t="shared" si="1"/>
        <v>4202.666666666667</v>
      </c>
      <c r="K26" s="340">
        <f t="shared" si="2"/>
        <v>2894</v>
      </c>
      <c r="L26" s="341">
        <v>2189</v>
      </c>
      <c r="M26" s="342">
        <v>705</v>
      </c>
      <c r="N26" s="343"/>
      <c r="O26" s="342"/>
      <c r="P26" s="342"/>
      <c r="Q26" s="344">
        <f t="shared" si="3"/>
        <v>122</v>
      </c>
      <c r="R26" s="345">
        <f>122</f>
        <v>122</v>
      </c>
      <c r="S26" s="346"/>
      <c r="T26" s="347">
        <f t="shared" si="4"/>
        <v>0</v>
      </c>
      <c r="U26" s="345"/>
      <c r="V26" s="348"/>
      <c r="W26" s="344">
        <f t="shared" si="5"/>
        <v>4850</v>
      </c>
      <c r="X26" s="330">
        <f t="shared" si="6"/>
        <v>550</v>
      </c>
      <c r="Y26" s="333">
        <f t="shared" si="7"/>
        <v>4300</v>
      </c>
      <c r="Z26" s="363"/>
      <c r="AA26" s="345"/>
      <c r="AB26" s="345"/>
      <c r="AC26" s="345"/>
      <c r="AD26" s="345"/>
      <c r="AE26" s="348"/>
      <c r="AF26" s="746">
        <f t="shared" si="8"/>
        <v>4850</v>
      </c>
      <c r="AG26" s="717">
        <v>550</v>
      </c>
      <c r="AH26" s="747">
        <v>4300</v>
      </c>
      <c r="AI26" s="713">
        <f t="shared" si="9"/>
        <v>0</v>
      </c>
      <c r="AJ26" s="719"/>
      <c r="AK26" s="720"/>
      <c r="AL26" s="718">
        <f t="shared" si="10"/>
        <v>4972</v>
      </c>
      <c r="AM26" s="349">
        <f t="shared" si="11"/>
        <v>672</v>
      </c>
      <c r="AN26" s="756">
        <f t="shared" si="11"/>
        <v>4300</v>
      </c>
      <c r="AO26" s="746">
        <f t="shared" si="12"/>
        <v>0</v>
      </c>
      <c r="AP26" s="345">
        <f t="shared" si="13"/>
        <v>0</v>
      </c>
      <c r="AQ26" s="346">
        <f t="shared" si="13"/>
        <v>0</v>
      </c>
    </row>
    <row r="27" spans="1:43" ht="19.5" customHeight="1" hidden="1">
      <c r="A27" s="361" t="s">
        <v>173</v>
      </c>
      <c r="B27" s="335"/>
      <c r="C27" s="336"/>
      <c r="D27" s="337"/>
      <c r="E27" s="338"/>
      <c r="F27" s="336"/>
      <c r="G27" s="339"/>
      <c r="H27" s="351"/>
      <c r="I27" s="341"/>
      <c r="J27" s="362"/>
      <c r="K27" s="340">
        <f t="shared" si="2"/>
        <v>5337</v>
      </c>
      <c r="L27" s="341">
        <v>2052</v>
      </c>
      <c r="M27" s="342">
        <v>3285</v>
      </c>
      <c r="N27" s="343"/>
      <c r="O27" s="342"/>
      <c r="P27" s="342"/>
      <c r="Q27" s="344">
        <f t="shared" si="3"/>
        <v>0</v>
      </c>
      <c r="R27" s="345"/>
      <c r="S27" s="346"/>
      <c r="T27" s="347">
        <f t="shared" si="4"/>
        <v>0</v>
      </c>
      <c r="U27" s="345"/>
      <c r="V27" s="348"/>
      <c r="W27" s="344"/>
      <c r="X27" s="330"/>
      <c r="Y27" s="333"/>
      <c r="Z27" s="363"/>
      <c r="AA27" s="345"/>
      <c r="AB27" s="345"/>
      <c r="AC27" s="345"/>
      <c r="AD27" s="345"/>
      <c r="AE27" s="348"/>
      <c r="AF27" s="746">
        <f t="shared" si="8"/>
        <v>0</v>
      </c>
      <c r="AG27" s="717">
        <f>X27+Z27+AA27</f>
        <v>0</v>
      </c>
      <c r="AH27" s="747">
        <f>Y27+AB27+AC27+AD27+AE27</f>
        <v>0</v>
      </c>
      <c r="AI27" s="713">
        <f t="shared" si="9"/>
        <v>0</v>
      </c>
      <c r="AJ27" s="721"/>
      <c r="AK27" s="722"/>
      <c r="AL27" s="718"/>
      <c r="AM27" s="349">
        <f t="shared" si="11"/>
        <v>0</v>
      </c>
      <c r="AN27" s="756">
        <f t="shared" si="11"/>
        <v>0</v>
      </c>
      <c r="AO27" s="746">
        <f t="shared" si="12"/>
        <v>0</v>
      </c>
      <c r="AP27" s="345">
        <f t="shared" si="13"/>
        <v>0</v>
      </c>
      <c r="AQ27" s="346">
        <f t="shared" si="13"/>
        <v>0</v>
      </c>
    </row>
    <row r="28" spans="1:43" ht="30.75" hidden="1" thickBot="1">
      <c r="A28" s="361" t="s">
        <v>174</v>
      </c>
      <c r="B28" s="335"/>
      <c r="C28" s="336"/>
      <c r="D28" s="337"/>
      <c r="E28" s="338"/>
      <c r="F28" s="336"/>
      <c r="G28" s="339"/>
      <c r="H28" s="351"/>
      <c r="I28" s="341"/>
      <c r="J28" s="362"/>
      <c r="K28" s="340">
        <f t="shared" si="2"/>
        <v>11386</v>
      </c>
      <c r="L28" s="341">
        <v>5357</v>
      </c>
      <c r="M28" s="342">
        <v>6029</v>
      </c>
      <c r="N28" s="343"/>
      <c r="O28" s="342"/>
      <c r="P28" s="342"/>
      <c r="Q28" s="344">
        <f t="shared" si="3"/>
        <v>0</v>
      </c>
      <c r="R28" s="345"/>
      <c r="S28" s="346"/>
      <c r="T28" s="347">
        <f t="shared" si="4"/>
        <v>0</v>
      </c>
      <c r="U28" s="345"/>
      <c r="V28" s="348"/>
      <c r="W28" s="344"/>
      <c r="X28" s="330"/>
      <c r="Y28" s="333"/>
      <c r="Z28" s="363"/>
      <c r="AA28" s="345"/>
      <c r="AB28" s="345"/>
      <c r="AC28" s="345"/>
      <c r="AD28" s="345"/>
      <c r="AE28" s="348"/>
      <c r="AF28" s="746">
        <f t="shared" si="8"/>
        <v>0</v>
      </c>
      <c r="AG28" s="717">
        <f>X28+Z28+AA28</f>
        <v>0</v>
      </c>
      <c r="AH28" s="747">
        <f>Y28+AB28+AC28+AD28+AE28</f>
        <v>0</v>
      </c>
      <c r="AI28" s="713">
        <f t="shared" si="9"/>
        <v>0</v>
      </c>
      <c r="AJ28" s="721"/>
      <c r="AK28" s="722"/>
      <c r="AL28" s="718"/>
      <c r="AM28" s="349">
        <f t="shared" si="11"/>
        <v>0</v>
      </c>
      <c r="AN28" s="756">
        <f t="shared" si="11"/>
        <v>0</v>
      </c>
      <c r="AO28" s="746">
        <f t="shared" si="12"/>
        <v>0</v>
      </c>
      <c r="AP28" s="345">
        <f t="shared" si="13"/>
        <v>0</v>
      </c>
      <c r="AQ28" s="346">
        <f t="shared" si="13"/>
        <v>0</v>
      </c>
    </row>
    <row r="29" spans="1:43" ht="30.75" hidden="1" thickBot="1">
      <c r="A29" s="364" t="s">
        <v>175</v>
      </c>
      <c r="B29" s="353"/>
      <c r="C29" s="354"/>
      <c r="D29" s="355"/>
      <c r="E29" s="356"/>
      <c r="F29" s="354"/>
      <c r="G29" s="357"/>
      <c r="H29" s="358"/>
      <c r="I29" s="365"/>
      <c r="J29" s="366"/>
      <c r="K29" s="367">
        <f t="shared" si="2"/>
        <v>32178</v>
      </c>
      <c r="L29" s="365">
        <v>15140</v>
      </c>
      <c r="M29" s="368">
        <v>17038</v>
      </c>
      <c r="N29" s="369"/>
      <c r="O29" s="368"/>
      <c r="P29" s="368"/>
      <c r="Q29" s="370">
        <f t="shared" si="3"/>
        <v>0</v>
      </c>
      <c r="R29" s="371"/>
      <c r="S29" s="372"/>
      <c r="T29" s="373">
        <f t="shared" si="4"/>
        <v>0</v>
      </c>
      <c r="U29" s="371"/>
      <c r="V29" s="374"/>
      <c r="W29" s="370"/>
      <c r="X29" s="330"/>
      <c r="Y29" s="333"/>
      <c r="Z29" s="375"/>
      <c r="AA29" s="371"/>
      <c r="AB29" s="371"/>
      <c r="AC29" s="371"/>
      <c r="AD29" s="371"/>
      <c r="AE29" s="374"/>
      <c r="AF29" s="748">
        <f t="shared" si="8"/>
        <v>0</v>
      </c>
      <c r="AG29" s="723">
        <f>X29+Z29+AA29</f>
        <v>0</v>
      </c>
      <c r="AH29" s="749">
        <f>Y29+AB29+AC29+AD29+AE29</f>
        <v>0</v>
      </c>
      <c r="AI29" s="724">
        <f t="shared" si="9"/>
        <v>0</v>
      </c>
      <c r="AJ29" s="725"/>
      <c r="AK29" s="726"/>
      <c r="AL29" s="727"/>
      <c r="AM29" s="376">
        <f t="shared" si="11"/>
        <v>0</v>
      </c>
      <c r="AN29" s="757">
        <f t="shared" si="11"/>
        <v>0</v>
      </c>
      <c r="AO29" s="748">
        <f t="shared" si="12"/>
        <v>0</v>
      </c>
      <c r="AP29" s="371">
        <f t="shared" si="13"/>
        <v>0</v>
      </c>
      <c r="AQ29" s="372">
        <f t="shared" si="13"/>
        <v>0</v>
      </c>
    </row>
    <row r="30" spans="1:46" ht="30.75" customHeight="1" thickBot="1">
      <c r="A30" s="736" t="s">
        <v>176</v>
      </c>
      <c r="B30" s="377">
        <f>SUM(B10:B26)</f>
        <v>97894</v>
      </c>
      <c r="C30" s="378">
        <f>SUM(C10:C26)</f>
        <v>27947</v>
      </c>
      <c r="D30" s="379">
        <f>SUM(D10:D33)</f>
        <v>57665</v>
      </c>
      <c r="E30" s="380">
        <f>F30+G30</f>
        <v>70640</v>
      </c>
      <c r="F30" s="378">
        <f>SUM(F10:F26)</f>
        <v>24266</v>
      </c>
      <c r="G30" s="381">
        <f>SUM(G10:G26)</f>
        <v>46374</v>
      </c>
      <c r="H30" s="382">
        <f>SUM(H10:H26)</f>
        <v>92915.99999999999</v>
      </c>
      <c r="I30" s="383">
        <f>SUM(I10:I26)</f>
        <v>32354.66666666667</v>
      </c>
      <c r="J30" s="384">
        <f>SUM(J11:J26)</f>
        <v>61683.99999999999</v>
      </c>
      <c r="K30" s="385">
        <f t="shared" si="2"/>
        <v>116728</v>
      </c>
      <c r="L30" s="383">
        <f>SUM(L10:L29)</f>
        <v>51515</v>
      </c>
      <c r="M30" s="386">
        <f>SUM(M10:M29)</f>
        <v>65213</v>
      </c>
      <c r="N30" s="382">
        <v>2765</v>
      </c>
      <c r="O30" s="383"/>
      <c r="P30" s="386"/>
      <c r="Q30" s="387">
        <f t="shared" si="3"/>
        <v>2233</v>
      </c>
      <c r="R30" s="388">
        <f>SUM(R10:R29)</f>
        <v>1311</v>
      </c>
      <c r="S30" s="389">
        <f>SUM(S10:S29)</f>
        <v>922</v>
      </c>
      <c r="T30" s="387">
        <f t="shared" si="4"/>
        <v>387</v>
      </c>
      <c r="U30" s="388">
        <f>SUM(U10:U29)</f>
        <v>181</v>
      </c>
      <c r="V30" s="389">
        <f>SUM(V10:V29)</f>
        <v>206</v>
      </c>
      <c r="W30" s="387">
        <f>SUM(W10:W26)</f>
        <v>63673</v>
      </c>
      <c r="X30" s="388">
        <f>SUM(X10:X26)</f>
        <v>34677</v>
      </c>
      <c r="Y30" s="389">
        <f>SUM(Y10:Y26)</f>
        <v>28996</v>
      </c>
      <c r="Z30" s="390">
        <f aca="true" t="shared" si="16" ref="Z30:AE30">SUM(Z10:Z29)</f>
        <v>150</v>
      </c>
      <c r="AA30" s="391">
        <f t="shared" si="16"/>
        <v>1042</v>
      </c>
      <c r="AB30" s="391">
        <f t="shared" si="16"/>
        <v>571</v>
      </c>
      <c r="AC30" s="391">
        <f t="shared" si="16"/>
        <v>17344</v>
      </c>
      <c r="AD30" s="391">
        <f t="shared" si="16"/>
        <v>8460</v>
      </c>
      <c r="AE30" s="740">
        <f t="shared" si="16"/>
        <v>6100</v>
      </c>
      <c r="AF30" s="750">
        <f>SUM(AF10:AF26)</f>
        <v>97340</v>
      </c>
      <c r="AG30" s="728">
        <f>SUM(AG10:AG26)</f>
        <v>35869</v>
      </c>
      <c r="AH30" s="751">
        <f>SUM(AH10:AH26)</f>
        <v>61471</v>
      </c>
      <c r="AI30" s="729">
        <f t="shared" si="9"/>
        <v>24000</v>
      </c>
      <c r="AJ30" s="730">
        <f>SUM(AJ10:AJ29)</f>
        <v>12900</v>
      </c>
      <c r="AK30" s="731">
        <f>SUM(AK10:AK29)</f>
        <v>11100</v>
      </c>
      <c r="AL30" s="737">
        <f t="shared" si="10"/>
        <v>99573</v>
      </c>
      <c r="AM30" s="738">
        <f>R30+AG30</f>
        <v>37180</v>
      </c>
      <c r="AN30" s="758">
        <f t="shared" si="11"/>
        <v>62393</v>
      </c>
      <c r="AO30" s="750">
        <f t="shared" si="12"/>
        <v>24387</v>
      </c>
      <c r="AP30" s="388">
        <f t="shared" si="13"/>
        <v>13081</v>
      </c>
      <c r="AQ30" s="389">
        <f t="shared" si="13"/>
        <v>11306</v>
      </c>
      <c r="AR30" s="29"/>
      <c r="AS30" s="29"/>
      <c r="AT30" s="29"/>
    </row>
    <row r="31" spans="1:46" ht="30.75" customHeight="1">
      <c r="A31" s="392" t="s">
        <v>177</v>
      </c>
      <c r="B31" s="393"/>
      <c r="C31" s="394"/>
      <c r="D31" s="394"/>
      <c r="E31" s="395"/>
      <c r="F31" s="394"/>
      <c r="G31" s="394"/>
      <c r="H31" s="396"/>
      <c r="I31" s="396"/>
      <c r="J31" s="396"/>
      <c r="K31" s="396"/>
      <c r="L31" s="396"/>
      <c r="M31" s="396"/>
      <c r="N31" s="396"/>
      <c r="O31" s="396"/>
      <c r="P31" s="396"/>
      <c r="Q31" s="398"/>
      <c r="R31" s="330"/>
      <c r="S31" s="330"/>
      <c r="T31" s="397"/>
      <c r="U31" s="325"/>
      <c r="V31" s="326"/>
      <c r="W31" s="324"/>
      <c r="X31" s="325"/>
      <c r="Y31" s="326"/>
      <c r="Z31" s="656"/>
      <c r="AA31" s="398"/>
      <c r="AB31" s="398"/>
      <c r="AC31" s="398"/>
      <c r="AD31" s="398"/>
      <c r="AE31" s="741"/>
      <c r="AF31" s="745"/>
      <c r="AG31" s="712"/>
      <c r="AH31" s="732"/>
      <c r="AI31" s="713"/>
      <c r="AJ31" s="712"/>
      <c r="AK31" s="732"/>
      <c r="AL31" s="761">
        <v>2765</v>
      </c>
      <c r="AM31" s="762"/>
      <c r="AN31" s="763"/>
      <c r="AO31" s="760"/>
      <c r="AP31" s="399"/>
      <c r="AQ31" s="400"/>
      <c r="AR31" s="29"/>
      <c r="AS31" s="29"/>
      <c r="AT31" s="29"/>
    </row>
    <row r="32" spans="1:46" ht="30" customHeight="1" thickBot="1">
      <c r="A32" s="735" t="s">
        <v>178</v>
      </c>
      <c r="B32" s="401"/>
      <c r="C32" s="402"/>
      <c r="D32" s="402"/>
      <c r="E32" s="403"/>
      <c r="F32" s="402"/>
      <c r="G32" s="402"/>
      <c r="H32" s="404"/>
      <c r="I32" s="404"/>
      <c r="J32" s="404"/>
      <c r="K32" s="404"/>
      <c r="L32" s="404"/>
      <c r="M32" s="404"/>
      <c r="N32" s="404"/>
      <c r="O32" s="404"/>
      <c r="P32" s="404"/>
      <c r="Q32" s="405"/>
      <c r="R32" s="406"/>
      <c r="S32" s="406"/>
      <c r="T32" s="405"/>
      <c r="U32" s="406"/>
      <c r="V32" s="407"/>
      <c r="W32" s="408"/>
      <c r="X32" s="406"/>
      <c r="Y32" s="407"/>
      <c r="Z32" s="657"/>
      <c r="AA32" s="405"/>
      <c r="AB32" s="405"/>
      <c r="AC32" s="405"/>
      <c r="AD32" s="405"/>
      <c r="AE32" s="742"/>
      <c r="AF32" s="752"/>
      <c r="AG32" s="733"/>
      <c r="AH32" s="734"/>
      <c r="AI32" s="743"/>
      <c r="AJ32" s="733"/>
      <c r="AK32" s="734"/>
      <c r="AL32" s="764">
        <f>AL30+AL31</f>
        <v>102338</v>
      </c>
      <c r="AM32" s="765"/>
      <c r="AN32" s="766"/>
      <c r="AO32" s="752">
        <f>AO30</f>
        <v>24387</v>
      </c>
      <c r="AP32" s="409"/>
      <c r="AQ32" s="410"/>
      <c r="AR32" s="29"/>
      <c r="AS32" s="29"/>
      <c r="AT32" s="29"/>
    </row>
    <row r="33" spans="1:46" ht="39" customHeight="1">
      <c r="A33" s="1035"/>
      <c r="B33" s="1035"/>
      <c r="C33" s="1035"/>
      <c r="D33" s="1035"/>
      <c r="E33" s="1035"/>
      <c r="F33" s="1035"/>
      <c r="G33" s="1035"/>
      <c r="H33" s="1035"/>
      <c r="I33" s="1035"/>
      <c r="J33" s="1035"/>
      <c r="K33" s="1035"/>
      <c r="L33" s="1035"/>
      <c r="M33" s="1035"/>
      <c r="N33" s="1035"/>
      <c r="O33" s="1035"/>
      <c r="P33" s="1035"/>
      <c r="Q33" s="1035"/>
      <c r="R33" s="1035"/>
      <c r="S33" s="1035"/>
      <c r="T33" s="1035"/>
      <c r="U33" s="1035"/>
      <c r="V33" s="1035"/>
      <c r="W33" s="1035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2"/>
      <c r="AM33" s="413"/>
      <c r="AN33" s="413"/>
      <c r="AO33" s="414"/>
      <c r="AP33" s="413"/>
      <c r="AQ33" s="413"/>
      <c r="AR33" s="29"/>
      <c r="AS33" s="29"/>
      <c r="AT33" s="29"/>
    </row>
    <row r="34" spans="1:46" ht="15">
      <c r="A34" s="415"/>
      <c r="B34" s="418"/>
      <c r="C34" s="416"/>
      <c r="D34" s="416"/>
      <c r="E34" s="416"/>
      <c r="F34" s="416"/>
      <c r="G34" s="416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9"/>
      <c r="AM34" s="420"/>
      <c r="AN34" s="289"/>
      <c r="AR34" s="29"/>
      <c r="AS34" s="29"/>
      <c r="AT34" s="29"/>
    </row>
    <row r="35" spans="8:46" ht="15"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M35" s="289"/>
      <c r="AN35" s="289"/>
      <c r="AR35" s="29"/>
      <c r="AS35" s="29"/>
      <c r="AT35" s="29"/>
    </row>
    <row r="36" spans="2:46" ht="15">
      <c r="B36" s="285"/>
      <c r="C36" s="285"/>
      <c r="D36" s="285"/>
      <c r="E36" s="285"/>
      <c r="F36" s="285"/>
      <c r="G36" s="285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285"/>
      <c r="AR36" s="29"/>
      <c r="AS36" s="29"/>
      <c r="AT36" s="29"/>
    </row>
    <row r="37" spans="8:46" ht="15"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3"/>
      <c r="AR37" s="29"/>
      <c r="AS37" s="29"/>
      <c r="AT37" s="29"/>
    </row>
    <row r="38" spans="1:46" ht="15">
      <c r="A38" s="1036"/>
      <c r="B38" s="1036"/>
      <c r="C38" s="1036"/>
      <c r="D38" s="1036"/>
      <c r="E38" s="1036"/>
      <c r="F38" s="1036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4"/>
      <c r="AP38" s="424"/>
      <c r="AQ38" s="424"/>
      <c r="AR38" s="29"/>
      <c r="AS38" s="29"/>
      <c r="AT38" s="29"/>
    </row>
    <row r="39" spans="44:46" ht="15">
      <c r="AR39" s="29"/>
      <c r="AS39" s="29"/>
      <c r="AT39" s="29"/>
    </row>
    <row r="40" ht="15">
      <c r="AS40" s="29"/>
    </row>
    <row r="41" ht="15">
      <c r="AS41" s="29"/>
    </row>
    <row r="42" ht="15">
      <c r="AS42" s="29"/>
    </row>
    <row r="43" ht="15">
      <c r="AS43" s="29"/>
    </row>
    <row r="44" ht="15">
      <c r="AS44" s="29"/>
    </row>
    <row r="45" ht="15">
      <c r="AS45" s="29"/>
    </row>
    <row r="46" ht="15">
      <c r="AS46" s="29"/>
    </row>
    <row r="47" ht="15">
      <c r="AS47" s="29"/>
    </row>
    <row r="48" ht="15">
      <c r="AS48" s="29"/>
    </row>
    <row r="49" ht="15">
      <c r="AS49" s="29"/>
    </row>
    <row r="50" ht="15">
      <c r="AS50" s="29"/>
    </row>
    <row r="51" ht="15">
      <c r="AS51" s="29"/>
    </row>
    <row r="52" ht="15">
      <c r="AS52" s="29"/>
    </row>
    <row r="53" ht="15">
      <c r="AS53" s="29"/>
    </row>
    <row r="54" ht="15">
      <c r="AS54" s="29"/>
    </row>
    <row r="55" ht="15">
      <c r="AS55" s="29"/>
    </row>
    <row r="59" ht="15" customHeight="1" hidden="1"/>
    <row r="60" ht="15.75" customHeight="1" hidden="1" thickBot="1"/>
    <row r="61" ht="15" customHeight="1" hidden="1"/>
    <row r="62" ht="65.25" customHeight="1" hidden="1"/>
    <row r="63" ht="15" customHeight="1" hidden="1" thickBot="1"/>
    <row r="64" ht="15.75" customHeight="1" hidden="1" thickBot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>
      <c r="AS71" s="29"/>
    </row>
    <row r="72" ht="15" customHeight="1" hidden="1">
      <c r="AS72" s="29"/>
    </row>
    <row r="73" ht="15" customHeight="1" hidden="1">
      <c r="AS73" s="29"/>
    </row>
    <row r="74" ht="15" customHeight="1" hidden="1">
      <c r="AS74" s="29"/>
    </row>
    <row r="75" ht="15" customHeight="1" hidden="1">
      <c r="AS75" s="29"/>
    </row>
    <row r="76" ht="15" customHeight="1" hidden="1">
      <c r="AS76" s="29"/>
    </row>
    <row r="77" ht="15" customHeight="1" hidden="1">
      <c r="AS77" s="29"/>
    </row>
    <row r="78" ht="15" customHeight="1" hidden="1">
      <c r="AS78" s="29"/>
    </row>
    <row r="79" ht="15" customHeight="1" hidden="1">
      <c r="AS79" s="29"/>
    </row>
    <row r="80" ht="15" customHeight="1" hidden="1">
      <c r="AS80" s="29"/>
    </row>
    <row r="81" ht="15" customHeight="1" hidden="1">
      <c r="AS81" s="29"/>
    </row>
    <row r="82" ht="15" customHeight="1" hidden="1">
      <c r="AS82" s="29"/>
    </row>
    <row r="83" ht="15" customHeight="1" hidden="1">
      <c r="AS83" s="29"/>
    </row>
    <row r="84" ht="15" customHeight="1" hidden="1">
      <c r="AS84" s="29"/>
    </row>
    <row r="85" ht="15" customHeight="1" hidden="1">
      <c r="AS85" s="29"/>
    </row>
    <row r="86" ht="15.75" customHeight="1" hidden="1" thickBot="1">
      <c r="AS86" s="29"/>
    </row>
    <row r="87" ht="15.75" customHeight="1" hidden="1" thickBot="1">
      <c r="AS87" s="29"/>
    </row>
    <row r="88" ht="15" customHeight="1" hidden="1"/>
    <row r="89" ht="15" customHeight="1" hidden="1"/>
    <row r="90" ht="15" customHeight="1" hidden="1"/>
    <row r="91" ht="15.75" customHeight="1" hidden="1" thickBot="1"/>
    <row r="92" ht="15" customHeight="1" hidden="1"/>
    <row r="93" ht="65.25" customHeight="1" hidden="1"/>
    <row r="94" ht="15" customHeight="1" hidden="1" thickBot="1"/>
    <row r="95" ht="15.75" customHeight="1" hidden="1" thickBot="1"/>
    <row r="96" ht="15.75" customHeight="1" hidden="1" thickBot="1"/>
    <row r="97" ht="15.75" customHeight="1" hidden="1" thickBot="1"/>
    <row r="98" ht="15" customHeight="1" hidden="1"/>
    <row r="99" ht="15" customHeight="1" hidden="1"/>
    <row r="100" ht="15" customHeight="1" hidden="1"/>
    <row r="101" ht="15.75" customHeight="1" hidden="1" thickBot="1"/>
    <row r="102" ht="15" customHeight="1" hidden="1"/>
    <row r="103" ht="65.25" customHeight="1" hidden="1"/>
    <row r="104" ht="15" customHeight="1" hidden="1" thickBot="1"/>
    <row r="105" ht="15.75" customHeight="1" hidden="1" thickBot="1"/>
    <row r="106" ht="15.75" customHeight="1" hidden="1" thickBot="1"/>
    <row r="107" ht="15.75" customHeight="1" hidden="1" thickBot="1"/>
    <row r="108" ht="15" customHeight="1" hidden="1"/>
    <row r="109" ht="15" customHeight="1" hidden="1"/>
    <row r="110" ht="15" customHeight="1" hidden="1"/>
    <row r="111" ht="15.75" customHeight="1" hidden="1" thickBot="1"/>
    <row r="112" ht="15" customHeight="1" hidden="1"/>
    <row r="113" ht="65.25" customHeight="1" hidden="1"/>
    <row r="114" ht="15" customHeight="1" hidden="1" thickBot="1"/>
    <row r="115" ht="15.75" customHeight="1" hidden="1" thickBot="1"/>
    <row r="116" ht="15.75" customHeight="1" hidden="1" thickBot="1"/>
    <row r="117" ht="15.75" customHeight="1" hidden="1" thickBot="1"/>
    <row r="118" ht="15" customHeight="1" hidden="1"/>
    <row r="119" ht="15" customHeight="1" hidden="1"/>
    <row r="120" ht="15.75" customHeight="1" hidden="1" thickBot="1"/>
    <row r="121" ht="15" customHeight="1" hidden="1"/>
    <row r="122" ht="65.25" customHeight="1" hidden="1"/>
    <row r="123" ht="15" customHeight="1" hidden="1" thickBot="1"/>
    <row r="124" ht="15.75" customHeight="1" hidden="1" thickBot="1"/>
    <row r="125" ht="15" customHeight="1" hidden="1"/>
    <row r="126" ht="15" customHeight="1" hidden="1"/>
    <row r="127" ht="15" customHeight="1" hidden="1"/>
    <row r="128" ht="15" customHeight="1" hidden="1"/>
    <row r="129" ht="15.75" customHeight="1" hidden="1" thickBot="1"/>
    <row r="130" ht="15.75" customHeight="1" hidden="1" thickBot="1"/>
    <row r="131" ht="15" customHeight="1" hidden="1"/>
    <row r="132" ht="15" customHeight="1" hidden="1"/>
    <row r="133" ht="15.75" customHeight="1" hidden="1" thickBot="1"/>
    <row r="134" ht="15" customHeight="1" hidden="1"/>
    <row r="135" ht="65.25" customHeight="1" hidden="1"/>
    <row r="136" ht="15" customHeight="1" hidden="1" thickBot="1"/>
    <row r="137" ht="15.75" customHeight="1" hidden="1" thickBot="1"/>
    <row r="138" ht="15.75" customHeight="1" hidden="1" thickBot="1"/>
    <row r="139" ht="15.75" customHeight="1" hidden="1" thickBot="1"/>
    <row r="140" ht="15" customHeight="1" hidden="1"/>
    <row r="141" ht="15" customHeight="1" hidden="1"/>
    <row r="142" ht="15.75" customHeight="1" hidden="1" thickBot="1"/>
    <row r="143" ht="15" customHeight="1" hidden="1"/>
    <row r="144" ht="65.25" customHeight="1" hidden="1"/>
    <row r="145" ht="15" customHeight="1" hidden="1" thickBot="1"/>
    <row r="146" ht="15.75" customHeight="1" hidden="1" thickBot="1"/>
    <row r="147" ht="15" customHeight="1" hidden="1"/>
    <row r="148" ht="15.75" customHeight="1" hidden="1" thickBot="1"/>
    <row r="149" ht="15.75" customHeight="1" hidden="1" thickBot="1"/>
    <row r="150" ht="15" customHeight="1" hidden="1"/>
  </sheetData>
  <sheetProtection/>
  <mergeCells count="53">
    <mergeCell ref="AI6:AK6"/>
    <mergeCell ref="AL4:AQ5"/>
    <mergeCell ref="N5:P6"/>
    <mergeCell ref="Q5:V5"/>
    <mergeCell ref="AF6:AH6"/>
    <mergeCell ref="W5:AK5"/>
    <mergeCell ref="AL6:AN6"/>
    <mergeCell ref="E6:G6"/>
    <mergeCell ref="H6:J6"/>
    <mergeCell ref="K6:M6"/>
    <mergeCell ref="AB7:AB8"/>
    <mergeCell ref="B7:B8"/>
    <mergeCell ref="C7:D7"/>
    <mergeCell ref="E7:E8"/>
    <mergeCell ref="F7:G7"/>
    <mergeCell ref="Q6:S6"/>
    <mergeCell ref="W6:Y6"/>
    <mergeCell ref="AE7:AE8"/>
    <mergeCell ref="X7:Y7"/>
    <mergeCell ref="AJ1:AQ1"/>
    <mergeCell ref="AK2:AQ2"/>
    <mergeCell ref="A3:AN3"/>
    <mergeCell ref="A4:A8"/>
    <mergeCell ref="Q4:AK4"/>
    <mergeCell ref="AO6:AQ6"/>
    <mergeCell ref="B6:D6"/>
    <mergeCell ref="T6:V6"/>
    <mergeCell ref="L7:M7"/>
    <mergeCell ref="N7:N8"/>
    <mergeCell ref="O7:P7"/>
    <mergeCell ref="Q7:Q8"/>
    <mergeCell ref="AC7:AC8"/>
    <mergeCell ref="AD7:AD8"/>
    <mergeCell ref="Z6:AE6"/>
    <mergeCell ref="Z7:Z8"/>
    <mergeCell ref="AA7:AA8"/>
    <mergeCell ref="AO7:AO8"/>
    <mergeCell ref="AP7:AQ7"/>
    <mergeCell ref="H7:H8"/>
    <mergeCell ref="I7:J7"/>
    <mergeCell ref="K7:K8"/>
    <mergeCell ref="W7:W8"/>
    <mergeCell ref="AF7:AF8"/>
    <mergeCell ref="A33:W33"/>
    <mergeCell ref="A38:F38"/>
    <mergeCell ref="AI7:AI8"/>
    <mergeCell ref="AJ7:AK7"/>
    <mergeCell ref="AL7:AL8"/>
    <mergeCell ref="AM7:AN7"/>
    <mergeCell ref="R7:S7"/>
    <mergeCell ref="T7:T8"/>
    <mergeCell ref="AG7:AH7"/>
    <mergeCell ref="U7:V7"/>
  </mergeCells>
  <printOptions/>
  <pageMargins left="0.21" right="0.17" top="0.38" bottom="0.16" header="0.31496062992125984" footer="0.31496062992125984"/>
  <pageSetup fitToHeight="0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8"/>
  <sheetViews>
    <sheetView view="pageBreakPreview" zoomScaleSheetLayoutView="100" zoomScalePageLayoutView="0" workbookViewId="0" topLeftCell="A13">
      <selection activeCell="D9" sqref="D9"/>
    </sheetView>
  </sheetViews>
  <sheetFormatPr defaultColWidth="9.140625" defaultRowHeight="15"/>
  <cols>
    <col min="1" max="1" width="44.7109375" style="426" customWidth="1"/>
    <col min="2" max="2" width="10.8515625" style="427" customWidth="1"/>
    <col min="3" max="3" width="11.421875" style="427" customWidth="1"/>
    <col min="4" max="4" width="10.7109375" style="427" customWidth="1"/>
    <col min="5" max="5" width="11.7109375" style="427" customWidth="1"/>
    <col min="6" max="7" width="11.57421875" style="427" customWidth="1"/>
    <col min="8" max="8" width="12.140625" style="426" customWidth="1"/>
    <col min="9" max="9" width="11.57421875" style="426" customWidth="1"/>
    <col min="10" max="10" width="12.00390625" style="426" customWidth="1"/>
    <col min="11" max="11" width="15.140625" style="20" customWidth="1"/>
    <col min="12" max="12" width="16.28125" style="20" customWidth="1"/>
    <col min="13" max="13" width="15.8515625" style="20" customWidth="1"/>
    <col min="14" max="16384" width="9.140625" style="20" customWidth="1"/>
  </cols>
  <sheetData>
    <row r="1" spans="7:11" ht="60.75" customHeight="1">
      <c r="G1" s="1016" t="s">
        <v>114</v>
      </c>
      <c r="H1" s="1016"/>
      <c r="I1" s="1016"/>
      <c r="J1" s="1016"/>
      <c r="K1" s="1016"/>
    </row>
    <row r="2" spans="8:10" ht="15.75">
      <c r="H2" s="428"/>
      <c r="J2" s="286"/>
    </row>
    <row r="3" spans="1:10" ht="25.5" customHeight="1">
      <c r="A3" s="1018" t="s">
        <v>232</v>
      </c>
      <c r="B3" s="1018"/>
      <c r="C3" s="1018"/>
      <c r="D3" s="1018"/>
      <c r="E3" s="1018"/>
      <c r="F3" s="1018"/>
      <c r="G3" s="1018"/>
      <c r="H3" s="1018"/>
      <c r="I3" s="1018"/>
      <c r="J3" s="1018"/>
    </row>
    <row r="4" spans="1:10" ht="10.5" customHeight="1" thickBot="1">
      <c r="A4" s="429"/>
      <c r="B4" s="429"/>
      <c r="C4" s="429"/>
      <c r="D4" s="429"/>
      <c r="E4" s="1136"/>
      <c r="F4" s="1136"/>
      <c r="G4" s="1136"/>
      <c r="H4" s="1136"/>
      <c r="I4" s="1136"/>
      <c r="J4" s="1136"/>
    </row>
    <row r="5" spans="1:10" ht="21.75" customHeight="1" thickBot="1">
      <c r="A5" s="1137" t="s">
        <v>182</v>
      </c>
      <c r="B5" s="1140" t="s">
        <v>240</v>
      </c>
      <c r="C5" s="1141"/>
      <c r="D5" s="1141"/>
      <c r="E5" s="1141"/>
      <c r="F5" s="1141"/>
      <c r="G5" s="1142"/>
      <c r="H5" s="1115" t="s">
        <v>231</v>
      </c>
      <c r="I5" s="1116"/>
      <c r="J5" s="1117"/>
    </row>
    <row r="6" spans="1:10" ht="57.75" customHeight="1" thickBot="1">
      <c r="A6" s="1138"/>
      <c r="B6" s="1121" t="s">
        <v>137</v>
      </c>
      <c r="C6" s="1107"/>
      <c r="D6" s="1122"/>
      <c r="E6" s="1123" t="s">
        <v>138</v>
      </c>
      <c r="F6" s="1124"/>
      <c r="G6" s="1125"/>
      <c r="H6" s="1118"/>
      <c r="I6" s="1119"/>
      <c r="J6" s="1120"/>
    </row>
    <row r="7" spans="1:10" ht="15" customHeight="1">
      <c r="A7" s="1138"/>
      <c r="B7" s="1132" t="s">
        <v>150</v>
      </c>
      <c r="C7" s="1026" t="s">
        <v>184</v>
      </c>
      <c r="D7" s="1027"/>
      <c r="E7" s="1134" t="s">
        <v>150</v>
      </c>
      <c r="F7" s="1128" t="s">
        <v>184</v>
      </c>
      <c r="G7" s="1129"/>
      <c r="H7" s="1130" t="s">
        <v>150</v>
      </c>
      <c r="I7" s="1126" t="s">
        <v>183</v>
      </c>
      <c r="J7" s="1127"/>
    </row>
    <row r="8" spans="1:10" ht="16.5" thickBot="1">
      <c r="A8" s="1139"/>
      <c r="B8" s="1133"/>
      <c r="C8" s="433" t="s">
        <v>152</v>
      </c>
      <c r="D8" s="434" t="s">
        <v>153</v>
      </c>
      <c r="E8" s="1135"/>
      <c r="F8" s="767" t="s">
        <v>152</v>
      </c>
      <c r="G8" s="768" t="s">
        <v>153</v>
      </c>
      <c r="H8" s="1131"/>
      <c r="I8" s="431" t="s">
        <v>152</v>
      </c>
      <c r="J8" s="432" t="s">
        <v>153</v>
      </c>
    </row>
    <row r="9" spans="1:10" ht="21" customHeight="1" thickBot="1">
      <c r="A9" s="435" t="s">
        <v>156</v>
      </c>
      <c r="B9" s="441">
        <v>1</v>
      </c>
      <c r="C9" s="442">
        <v>2</v>
      </c>
      <c r="D9" s="443">
        <v>3</v>
      </c>
      <c r="E9" s="769">
        <v>4</v>
      </c>
      <c r="F9" s="770">
        <v>5</v>
      </c>
      <c r="G9" s="771">
        <v>6</v>
      </c>
      <c r="H9" s="645">
        <v>7</v>
      </c>
      <c r="I9" s="436">
        <v>8</v>
      </c>
      <c r="J9" s="437">
        <v>9</v>
      </c>
    </row>
    <row r="10" spans="1:10" ht="19.5" customHeight="1">
      <c r="A10" s="773" t="s">
        <v>185</v>
      </c>
      <c r="B10" s="775">
        <f>C10+D10</f>
        <v>40</v>
      </c>
      <c r="C10" s="774">
        <v>40</v>
      </c>
      <c r="D10" s="776"/>
      <c r="E10" s="777">
        <f>F10+G10</f>
        <v>620</v>
      </c>
      <c r="F10" s="778">
        <v>500</v>
      </c>
      <c r="G10" s="779">
        <v>120</v>
      </c>
      <c r="H10" s="780">
        <f>I10+J10</f>
        <v>660</v>
      </c>
      <c r="I10" s="314">
        <f>C10+F10</f>
        <v>540</v>
      </c>
      <c r="J10" s="315">
        <f>D10+G10</f>
        <v>120</v>
      </c>
    </row>
    <row r="11" spans="1:10" ht="19.5" customHeight="1">
      <c r="A11" s="781" t="s">
        <v>158</v>
      </c>
      <c r="B11" s="782">
        <f aca="true" t="shared" si="0" ref="B11:B26">C11+D11</f>
        <v>424</v>
      </c>
      <c r="C11" s="341"/>
      <c r="D11" s="362">
        <f>424</f>
        <v>424</v>
      </c>
      <c r="E11" s="777">
        <f aca="true" t="shared" si="1" ref="E11:E26">F11+G11</f>
        <v>25000</v>
      </c>
      <c r="F11" s="778"/>
      <c r="G11" s="779">
        <f>25000</f>
        <v>25000</v>
      </c>
      <c r="H11" s="780">
        <f aca="true" t="shared" si="2" ref="H11:H26">I11+J11</f>
        <v>25424</v>
      </c>
      <c r="I11" s="314">
        <f aca="true" t="shared" si="3" ref="I11:J25">C11+F11</f>
        <v>0</v>
      </c>
      <c r="J11" s="315">
        <f t="shared" si="3"/>
        <v>25424</v>
      </c>
    </row>
    <row r="12" spans="1:10" ht="19.5" customHeight="1">
      <c r="A12" s="781" t="s">
        <v>159</v>
      </c>
      <c r="B12" s="782">
        <f t="shared" si="0"/>
        <v>325</v>
      </c>
      <c r="C12" s="341">
        <v>325</v>
      </c>
      <c r="D12" s="362"/>
      <c r="E12" s="777">
        <f t="shared" si="1"/>
        <v>14997</v>
      </c>
      <c r="F12" s="778">
        <f>15000-3</f>
        <v>14997</v>
      </c>
      <c r="G12" s="779"/>
      <c r="H12" s="780">
        <f t="shared" si="2"/>
        <v>15322</v>
      </c>
      <c r="I12" s="314">
        <f t="shared" si="3"/>
        <v>15322</v>
      </c>
      <c r="J12" s="315">
        <f t="shared" si="3"/>
        <v>0</v>
      </c>
    </row>
    <row r="13" spans="1:10" ht="19.5" customHeight="1">
      <c r="A13" s="781" t="s">
        <v>160</v>
      </c>
      <c r="B13" s="782">
        <f t="shared" si="0"/>
        <v>50</v>
      </c>
      <c r="C13" s="341">
        <v>50</v>
      </c>
      <c r="D13" s="362"/>
      <c r="E13" s="777">
        <f t="shared" si="1"/>
        <v>1000</v>
      </c>
      <c r="F13" s="778">
        <v>1000</v>
      </c>
      <c r="G13" s="779"/>
      <c r="H13" s="780">
        <f t="shared" si="2"/>
        <v>1050</v>
      </c>
      <c r="I13" s="314">
        <f t="shared" si="3"/>
        <v>1050</v>
      </c>
      <c r="J13" s="315">
        <f t="shared" si="3"/>
        <v>0</v>
      </c>
    </row>
    <row r="14" spans="1:10" ht="19.5" customHeight="1">
      <c r="A14" s="781" t="s">
        <v>161</v>
      </c>
      <c r="B14" s="782">
        <f t="shared" si="0"/>
        <v>0</v>
      </c>
      <c r="C14" s="341"/>
      <c r="D14" s="362"/>
      <c r="E14" s="777">
        <f t="shared" si="1"/>
        <v>0</v>
      </c>
      <c r="F14" s="778"/>
      <c r="G14" s="779"/>
      <c r="H14" s="780">
        <f t="shared" si="2"/>
        <v>0</v>
      </c>
      <c r="I14" s="314">
        <f t="shared" si="3"/>
        <v>0</v>
      </c>
      <c r="J14" s="315">
        <f t="shared" si="3"/>
        <v>0</v>
      </c>
    </row>
    <row r="15" spans="1:10" ht="19.5" customHeight="1">
      <c r="A15" s="781" t="s">
        <v>163</v>
      </c>
      <c r="B15" s="782">
        <f t="shared" si="0"/>
        <v>103</v>
      </c>
      <c r="C15" s="341">
        <v>53</v>
      </c>
      <c r="D15" s="362">
        <v>50</v>
      </c>
      <c r="E15" s="777">
        <f t="shared" si="1"/>
        <v>3700</v>
      </c>
      <c r="F15" s="778">
        <v>3500</v>
      </c>
      <c r="G15" s="779">
        <v>200</v>
      </c>
      <c r="H15" s="780">
        <f t="shared" si="2"/>
        <v>3803</v>
      </c>
      <c r="I15" s="314">
        <f t="shared" si="3"/>
        <v>3553</v>
      </c>
      <c r="J15" s="315">
        <f t="shared" si="3"/>
        <v>250</v>
      </c>
    </row>
    <row r="16" spans="1:10" ht="19.5" customHeight="1">
      <c r="A16" s="781" t="s">
        <v>164</v>
      </c>
      <c r="B16" s="782">
        <f t="shared" si="0"/>
        <v>25</v>
      </c>
      <c r="C16" s="341">
        <f>29-4</f>
        <v>25</v>
      </c>
      <c r="D16" s="362"/>
      <c r="E16" s="777">
        <f t="shared" si="1"/>
        <v>1254</v>
      </c>
      <c r="F16" s="778">
        <f>1000+4</f>
        <v>1004</v>
      </c>
      <c r="G16" s="779">
        <v>250</v>
      </c>
      <c r="H16" s="780">
        <f t="shared" si="2"/>
        <v>1279</v>
      </c>
      <c r="I16" s="314">
        <f t="shared" si="3"/>
        <v>1029</v>
      </c>
      <c r="J16" s="315">
        <f t="shared" si="3"/>
        <v>250</v>
      </c>
    </row>
    <row r="17" spans="1:10" ht="19.5" customHeight="1">
      <c r="A17" s="781" t="s">
        <v>165</v>
      </c>
      <c r="B17" s="782">
        <f t="shared" si="0"/>
        <v>105</v>
      </c>
      <c r="C17" s="341">
        <v>75</v>
      </c>
      <c r="D17" s="362">
        <v>30</v>
      </c>
      <c r="E17" s="777">
        <f t="shared" si="1"/>
        <v>5350</v>
      </c>
      <c r="F17" s="778">
        <v>4700</v>
      </c>
      <c r="G17" s="779">
        <v>650</v>
      </c>
      <c r="H17" s="780">
        <f t="shared" si="2"/>
        <v>5455</v>
      </c>
      <c r="I17" s="314">
        <f t="shared" si="3"/>
        <v>4775</v>
      </c>
      <c r="J17" s="315">
        <f t="shared" si="3"/>
        <v>680</v>
      </c>
    </row>
    <row r="18" spans="1:10" ht="19.5" customHeight="1">
      <c r="A18" s="781" t="s">
        <v>322</v>
      </c>
      <c r="B18" s="782">
        <f t="shared" si="0"/>
        <v>0</v>
      </c>
      <c r="C18" s="341"/>
      <c r="D18" s="362"/>
      <c r="E18" s="777">
        <f t="shared" si="1"/>
        <v>1050</v>
      </c>
      <c r="F18" s="778">
        <v>1000</v>
      </c>
      <c r="G18" s="779">
        <v>50</v>
      </c>
      <c r="H18" s="780">
        <f t="shared" si="2"/>
        <v>1050</v>
      </c>
      <c r="I18" s="314">
        <f t="shared" si="3"/>
        <v>1000</v>
      </c>
      <c r="J18" s="315">
        <f t="shared" si="3"/>
        <v>50</v>
      </c>
    </row>
    <row r="19" spans="1:10" ht="19.5" customHeight="1">
      <c r="A19" s="781" t="s">
        <v>167</v>
      </c>
      <c r="B19" s="782">
        <f t="shared" si="0"/>
        <v>0</v>
      </c>
      <c r="C19" s="341">
        <f>3-3</f>
        <v>0</v>
      </c>
      <c r="D19" s="362"/>
      <c r="E19" s="777">
        <f t="shared" si="1"/>
        <v>1003</v>
      </c>
      <c r="F19" s="778">
        <f>1000+3</f>
        <v>1003</v>
      </c>
      <c r="G19" s="779"/>
      <c r="H19" s="780">
        <f t="shared" si="2"/>
        <v>1003</v>
      </c>
      <c r="I19" s="314">
        <f t="shared" si="3"/>
        <v>1003</v>
      </c>
      <c r="J19" s="315">
        <f t="shared" si="3"/>
        <v>0</v>
      </c>
    </row>
    <row r="20" spans="1:10" ht="19.5" customHeight="1">
      <c r="A20" s="781" t="s">
        <v>166</v>
      </c>
      <c r="B20" s="782">
        <f t="shared" si="0"/>
        <v>0</v>
      </c>
      <c r="C20" s="341"/>
      <c r="D20" s="362"/>
      <c r="E20" s="777">
        <f t="shared" si="1"/>
        <v>1000</v>
      </c>
      <c r="F20" s="778">
        <v>1000</v>
      </c>
      <c r="G20" s="779"/>
      <c r="H20" s="780">
        <f t="shared" si="2"/>
        <v>1000</v>
      </c>
      <c r="I20" s="314">
        <f t="shared" si="3"/>
        <v>1000</v>
      </c>
      <c r="J20" s="315">
        <f t="shared" si="3"/>
        <v>0</v>
      </c>
    </row>
    <row r="21" spans="1:10" ht="19.5" customHeight="1">
      <c r="A21" s="781" t="s">
        <v>168</v>
      </c>
      <c r="B21" s="782">
        <f t="shared" si="0"/>
        <v>0</v>
      </c>
      <c r="C21" s="341"/>
      <c r="D21" s="362"/>
      <c r="E21" s="777">
        <f t="shared" si="1"/>
        <v>13800</v>
      </c>
      <c r="F21" s="778">
        <v>9800</v>
      </c>
      <c r="G21" s="779">
        <v>4000</v>
      </c>
      <c r="H21" s="780">
        <f t="shared" si="2"/>
        <v>13800</v>
      </c>
      <c r="I21" s="314">
        <f t="shared" si="3"/>
        <v>9800</v>
      </c>
      <c r="J21" s="315">
        <f t="shared" si="3"/>
        <v>4000</v>
      </c>
    </row>
    <row r="22" spans="1:10" ht="19.5" customHeight="1">
      <c r="A22" s="783" t="s">
        <v>169</v>
      </c>
      <c r="B22" s="782">
        <f t="shared" si="0"/>
        <v>132</v>
      </c>
      <c r="C22" s="341">
        <f>152-20</f>
        <v>132</v>
      </c>
      <c r="D22" s="362"/>
      <c r="E22" s="777">
        <f t="shared" si="1"/>
        <v>5670</v>
      </c>
      <c r="F22" s="778">
        <f>5500+20</f>
        <v>5520</v>
      </c>
      <c r="G22" s="779">
        <v>150</v>
      </c>
      <c r="H22" s="780">
        <f t="shared" si="2"/>
        <v>5802</v>
      </c>
      <c r="I22" s="314">
        <f t="shared" si="3"/>
        <v>5652</v>
      </c>
      <c r="J22" s="315">
        <f t="shared" si="3"/>
        <v>150</v>
      </c>
    </row>
    <row r="23" spans="1:10" ht="19.5" customHeight="1">
      <c r="A23" s="781" t="s">
        <v>186</v>
      </c>
      <c r="B23" s="782">
        <f t="shared" si="0"/>
        <v>39</v>
      </c>
      <c r="C23" s="341">
        <f>34-5</f>
        <v>29</v>
      </c>
      <c r="D23" s="362">
        <v>10</v>
      </c>
      <c r="E23" s="777">
        <f t="shared" si="1"/>
        <v>3005</v>
      </c>
      <c r="F23" s="778">
        <f>2000+5</f>
        <v>2005</v>
      </c>
      <c r="G23" s="779">
        <v>1000</v>
      </c>
      <c r="H23" s="780">
        <f t="shared" si="2"/>
        <v>3044</v>
      </c>
      <c r="I23" s="314">
        <f t="shared" si="3"/>
        <v>2034</v>
      </c>
      <c r="J23" s="315">
        <f t="shared" si="3"/>
        <v>1010</v>
      </c>
    </row>
    <row r="24" spans="1:10" ht="19.5" customHeight="1">
      <c r="A24" s="781" t="s">
        <v>171</v>
      </c>
      <c r="B24" s="782">
        <f t="shared" si="0"/>
        <v>68</v>
      </c>
      <c r="C24" s="341">
        <f>75-17</f>
        <v>58</v>
      </c>
      <c r="D24" s="362">
        <v>10</v>
      </c>
      <c r="E24" s="777">
        <f t="shared" si="1"/>
        <v>3217</v>
      </c>
      <c r="F24" s="778">
        <f>2500+17</f>
        <v>2517</v>
      </c>
      <c r="G24" s="779">
        <v>700</v>
      </c>
      <c r="H24" s="780">
        <f t="shared" si="2"/>
        <v>3285</v>
      </c>
      <c r="I24" s="314">
        <f t="shared" si="3"/>
        <v>2575</v>
      </c>
      <c r="J24" s="315">
        <f t="shared" si="3"/>
        <v>710</v>
      </c>
    </row>
    <row r="25" spans="1:10" ht="19.5" customHeight="1" thickBot="1">
      <c r="A25" s="784" t="s">
        <v>172</v>
      </c>
      <c r="B25" s="785">
        <f t="shared" si="0"/>
        <v>44</v>
      </c>
      <c r="C25" s="365">
        <v>30</v>
      </c>
      <c r="D25" s="366">
        <v>14</v>
      </c>
      <c r="E25" s="786">
        <f t="shared" si="1"/>
        <v>2804</v>
      </c>
      <c r="F25" s="787">
        <f>1801+3</f>
        <v>1804</v>
      </c>
      <c r="G25" s="788">
        <v>1000</v>
      </c>
      <c r="H25" s="789">
        <f t="shared" si="2"/>
        <v>2848</v>
      </c>
      <c r="I25" s="790">
        <f t="shared" si="3"/>
        <v>1834</v>
      </c>
      <c r="J25" s="791">
        <f t="shared" si="3"/>
        <v>1014</v>
      </c>
    </row>
    <row r="26" spans="1:10" ht="19.5" customHeight="1" thickBot="1">
      <c r="A26" s="792" t="s">
        <v>176</v>
      </c>
      <c r="B26" s="382">
        <f t="shared" si="0"/>
        <v>1355</v>
      </c>
      <c r="C26" s="813">
        <f>SUM(C10:C25)</f>
        <v>817</v>
      </c>
      <c r="D26" s="814">
        <f>SUM(D10:D25)</f>
        <v>538</v>
      </c>
      <c r="E26" s="793">
        <f t="shared" si="1"/>
        <v>83470</v>
      </c>
      <c r="F26" s="811">
        <f>SUM(F10:F25)</f>
        <v>50350</v>
      </c>
      <c r="G26" s="812">
        <f>SUM(G10:G25)</f>
        <v>33120</v>
      </c>
      <c r="H26" s="794">
        <f t="shared" si="2"/>
        <v>84825</v>
      </c>
      <c r="I26" s="795">
        <f>SUM(I10:I25)</f>
        <v>51167</v>
      </c>
      <c r="J26" s="796">
        <f>SUM(J10:J25)</f>
        <v>33658</v>
      </c>
    </row>
    <row r="27" spans="1:10" ht="19.5" customHeight="1">
      <c r="A27" s="773" t="s">
        <v>187</v>
      </c>
      <c r="B27" s="798"/>
      <c r="C27" s="797"/>
      <c r="D27" s="799"/>
      <c r="E27" s="777"/>
      <c r="F27" s="800"/>
      <c r="G27" s="801"/>
      <c r="H27" s="780">
        <v>1400</v>
      </c>
      <c r="I27" s="314"/>
      <c r="J27" s="315"/>
    </row>
    <row r="28" spans="1:10" ht="19.5" customHeight="1" thickBot="1">
      <c r="A28" s="802" t="s">
        <v>188</v>
      </c>
      <c r="B28" s="803"/>
      <c r="C28" s="404"/>
      <c r="D28" s="804"/>
      <c r="E28" s="805"/>
      <c r="F28" s="806"/>
      <c r="G28" s="807"/>
      <c r="H28" s="808">
        <f>H26+H27</f>
        <v>86225</v>
      </c>
      <c r="I28" s="809"/>
      <c r="J28" s="810"/>
    </row>
    <row r="29" spans="1:8" ht="20.25" customHeight="1">
      <c r="A29" s="1028"/>
      <c r="B29" s="1028"/>
      <c r="C29" s="457"/>
      <c r="H29" s="458"/>
    </row>
    <row r="30" spans="1:13" ht="15.75">
      <c r="A30" s="460"/>
      <c r="H30" s="461"/>
      <c r="I30" s="462"/>
      <c r="J30" s="462"/>
      <c r="K30" s="29"/>
      <c r="L30" s="29"/>
      <c r="M30" s="29"/>
    </row>
    <row r="31" spans="9:13" ht="15.75">
      <c r="I31" s="463"/>
      <c r="J31" s="463"/>
      <c r="K31" s="29"/>
      <c r="L31" s="29"/>
      <c r="M31" s="29"/>
    </row>
    <row r="32" spans="9:13" ht="39" customHeight="1">
      <c r="I32" s="463"/>
      <c r="J32" s="463"/>
      <c r="K32" s="29"/>
      <c r="L32" s="29"/>
      <c r="M32" s="29"/>
    </row>
    <row r="33" spans="9:13" ht="15.75">
      <c r="I33" s="463"/>
      <c r="J33" s="463"/>
      <c r="K33" s="29"/>
      <c r="L33" s="29"/>
      <c r="M33" s="29"/>
    </row>
    <row r="34" spans="11:13" ht="15.75">
      <c r="K34" s="29"/>
      <c r="L34" s="29"/>
      <c r="M34" s="29"/>
    </row>
    <row r="35" spans="1:13" ht="15.75">
      <c r="A35" s="1114"/>
      <c r="B35" s="465"/>
      <c r="C35" s="465"/>
      <c r="D35" s="465"/>
      <c r="E35" s="465"/>
      <c r="F35" s="465"/>
      <c r="G35" s="465"/>
      <c r="H35" s="430"/>
      <c r="I35" s="430"/>
      <c r="J35" s="430"/>
      <c r="K35" s="29"/>
      <c r="L35" s="29"/>
      <c r="M35" s="29"/>
    </row>
    <row r="36" spans="1:13" ht="15.75">
      <c r="A36" s="1114"/>
      <c r="B36" s="465"/>
      <c r="C36" s="465"/>
      <c r="D36" s="465"/>
      <c r="E36" s="465"/>
      <c r="F36" s="465"/>
      <c r="G36" s="465"/>
      <c r="H36" s="430"/>
      <c r="I36" s="430"/>
      <c r="J36" s="430"/>
      <c r="K36" s="29"/>
      <c r="L36" s="29"/>
      <c r="M36" s="29"/>
    </row>
    <row r="37" spans="1:13" ht="15.75">
      <c r="A37" s="466"/>
      <c r="B37" s="465"/>
      <c r="C37" s="465"/>
      <c r="D37" s="465"/>
      <c r="E37" s="465"/>
      <c r="F37" s="465"/>
      <c r="G37" s="465"/>
      <c r="H37" s="430"/>
      <c r="I37" s="430"/>
      <c r="J37" s="430"/>
      <c r="K37" s="29"/>
      <c r="L37" s="29"/>
      <c r="M37" s="29"/>
    </row>
    <row r="38" spans="1:13" ht="15.75">
      <c r="A38" s="466"/>
      <c r="B38" s="465"/>
      <c r="C38" s="465"/>
      <c r="D38" s="465"/>
      <c r="E38" s="465"/>
      <c r="F38" s="465"/>
      <c r="G38" s="465"/>
      <c r="H38" s="430"/>
      <c r="I38" s="430"/>
      <c r="J38" s="430"/>
      <c r="K38" s="29"/>
      <c r="L38" s="29"/>
      <c r="M38" s="29"/>
    </row>
    <row r="39" spans="1:12" ht="15.75">
      <c r="A39" s="466"/>
      <c r="B39" s="465"/>
      <c r="C39" s="465"/>
      <c r="D39" s="465"/>
      <c r="E39" s="465"/>
      <c r="F39" s="465"/>
      <c r="G39" s="465"/>
      <c r="H39" s="430"/>
      <c r="I39" s="430"/>
      <c r="J39" s="430"/>
      <c r="L39" s="29"/>
    </row>
    <row r="40" spans="1:12" ht="15.75">
      <c r="A40" s="466"/>
      <c r="B40" s="465"/>
      <c r="C40" s="465"/>
      <c r="D40" s="465"/>
      <c r="E40" s="465"/>
      <c r="F40" s="465"/>
      <c r="G40" s="465"/>
      <c r="H40" s="430"/>
      <c r="I40" s="430"/>
      <c r="J40" s="430"/>
      <c r="L40" s="29"/>
    </row>
    <row r="41" spans="1:12" ht="15.75">
      <c r="A41" s="466"/>
      <c r="B41" s="465"/>
      <c r="C41" s="465"/>
      <c r="D41" s="465"/>
      <c r="E41" s="465"/>
      <c r="F41" s="465"/>
      <c r="G41" s="465"/>
      <c r="H41" s="430"/>
      <c r="I41" s="430"/>
      <c r="J41" s="430"/>
      <c r="L41" s="29"/>
    </row>
    <row r="42" spans="1:12" ht="15.75">
      <c r="A42" s="466"/>
      <c r="B42" s="465"/>
      <c r="C42" s="465"/>
      <c r="D42" s="465"/>
      <c r="E42" s="465"/>
      <c r="F42" s="465"/>
      <c r="G42" s="465"/>
      <c r="H42" s="430"/>
      <c r="I42" s="430"/>
      <c r="J42" s="430"/>
      <c r="L42" s="29"/>
    </row>
    <row r="43" spans="1:12" ht="15.75">
      <c r="A43" s="466"/>
      <c r="B43" s="465"/>
      <c r="C43" s="465"/>
      <c r="D43" s="465"/>
      <c r="E43" s="465"/>
      <c r="F43" s="465"/>
      <c r="G43" s="465"/>
      <c r="H43" s="430"/>
      <c r="I43" s="430"/>
      <c r="J43" s="430"/>
      <c r="L43" s="29"/>
    </row>
    <row r="44" spans="1:12" ht="15.75">
      <c r="A44" s="466"/>
      <c r="B44" s="465"/>
      <c r="C44" s="465"/>
      <c r="D44" s="465"/>
      <c r="E44" s="465"/>
      <c r="F44" s="465"/>
      <c r="G44" s="465"/>
      <c r="H44" s="430"/>
      <c r="I44" s="430"/>
      <c r="J44" s="430"/>
      <c r="L44" s="29"/>
    </row>
    <row r="45" spans="1:12" ht="15.75">
      <c r="A45" s="466"/>
      <c r="B45" s="465"/>
      <c r="C45" s="465"/>
      <c r="D45" s="465"/>
      <c r="E45" s="465"/>
      <c r="F45" s="465"/>
      <c r="G45" s="465"/>
      <c r="H45" s="430"/>
      <c r="I45" s="430"/>
      <c r="J45" s="430"/>
      <c r="L45" s="29"/>
    </row>
    <row r="46" spans="1:12" ht="15.75">
      <c r="A46" s="466"/>
      <c r="B46" s="465"/>
      <c r="C46" s="465"/>
      <c r="D46" s="465"/>
      <c r="E46" s="465"/>
      <c r="F46" s="465"/>
      <c r="G46" s="465"/>
      <c r="H46" s="430"/>
      <c r="I46" s="430"/>
      <c r="J46" s="430"/>
      <c r="L46" s="29"/>
    </row>
    <row r="47" spans="1:12" ht="15.75">
      <c r="A47" s="466"/>
      <c r="B47" s="465"/>
      <c r="C47" s="465"/>
      <c r="D47" s="465"/>
      <c r="E47" s="465"/>
      <c r="F47" s="465"/>
      <c r="G47" s="465"/>
      <c r="H47" s="430"/>
      <c r="I47" s="430"/>
      <c r="J47" s="430"/>
      <c r="L47" s="29"/>
    </row>
    <row r="48" spans="1:12" ht="15.75">
      <c r="A48" s="467"/>
      <c r="B48" s="465"/>
      <c r="C48" s="465"/>
      <c r="D48" s="465"/>
      <c r="E48" s="465"/>
      <c r="F48" s="465"/>
      <c r="G48" s="465"/>
      <c r="H48" s="430"/>
      <c r="I48" s="430"/>
      <c r="J48" s="430"/>
      <c r="L48" s="29"/>
    </row>
    <row r="49" spans="1:12" ht="15.75">
      <c r="A49" s="466"/>
      <c r="B49" s="465"/>
      <c r="C49" s="465"/>
      <c r="D49" s="465"/>
      <c r="E49" s="465"/>
      <c r="F49" s="465"/>
      <c r="G49" s="465"/>
      <c r="H49" s="430"/>
      <c r="I49" s="430"/>
      <c r="J49" s="430"/>
      <c r="L49" s="29"/>
    </row>
    <row r="50" spans="1:12" ht="15.75">
      <c r="A50" s="466"/>
      <c r="B50" s="465"/>
      <c r="C50" s="465"/>
      <c r="D50" s="465"/>
      <c r="E50" s="465"/>
      <c r="F50" s="465"/>
      <c r="G50" s="465"/>
      <c r="H50" s="430"/>
      <c r="I50" s="430"/>
      <c r="J50" s="430"/>
      <c r="L50" s="29"/>
    </row>
    <row r="51" spans="1:12" ht="15.75">
      <c r="A51" s="466"/>
      <c r="B51" s="465"/>
      <c r="C51" s="465"/>
      <c r="D51" s="465"/>
      <c r="E51" s="465"/>
      <c r="F51" s="465"/>
      <c r="G51" s="465"/>
      <c r="H51" s="430"/>
      <c r="I51" s="430"/>
      <c r="J51" s="430"/>
      <c r="L51" s="29"/>
    </row>
    <row r="52" spans="1:12" ht="15.75">
      <c r="A52" s="430"/>
      <c r="B52" s="465"/>
      <c r="C52" s="465"/>
      <c r="D52" s="465"/>
      <c r="E52" s="465"/>
      <c r="F52" s="465"/>
      <c r="G52" s="465"/>
      <c r="H52" s="430"/>
      <c r="I52" s="430"/>
      <c r="J52" s="430"/>
      <c r="L52" s="29"/>
    </row>
    <row r="53" spans="1:12" ht="15.75">
      <c r="A53" s="430"/>
      <c r="B53" s="465"/>
      <c r="C53" s="465"/>
      <c r="D53" s="465"/>
      <c r="E53" s="465"/>
      <c r="F53" s="465"/>
      <c r="G53" s="465"/>
      <c r="H53" s="430"/>
      <c r="I53" s="430"/>
      <c r="J53" s="430"/>
      <c r="L53" s="29"/>
    </row>
    <row r="54" spans="1:12" ht="15.75">
      <c r="A54" s="430"/>
      <c r="B54" s="465"/>
      <c r="C54" s="465"/>
      <c r="D54" s="465"/>
      <c r="E54" s="465"/>
      <c r="F54" s="465"/>
      <c r="G54" s="465"/>
      <c r="H54" s="430"/>
      <c r="I54" s="430"/>
      <c r="J54" s="430"/>
      <c r="L54" s="29"/>
    </row>
    <row r="55" spans="1:10" ht="15.75">
      <c r="A55" s="430"/>
      <c r="B55" s="469"/>
      <c r="C55" s="469"/>
      <c r="D55" s="469"/>
      <c r="E55" s="469"/>
      <c r="F55" s="469"/>
      <c r="G55" s="469"/>
      <c r="H55" s="224"/>
      <c r="I55" s="224"/>
      <c r="J55" s="224"/>
    </row>
    <row r="56" spans="1:10" ht="15.75">
      <c r="A56" s="430"/>
      <c r="B56" s="469"/>
      <c r="C56" s="469"/>
      <c r="D56" s="469"/>
      <c r="E56" s="469"/>
      <c r="F56" s="469"/>
      <c r="G56" s="469"/>
      <c r="H56" s="224"/>
      <c r="I56" s="224"/>
      <c r="J56" s="224"/>
    </row>
    <row r="57" spans="1:10" ht="15.75">
      <c r="A57" s="430"/>
      <c r="B57" s="469"/>
      <c r="C57" s="469"/>
      <c r="D57" s="469"/>
      <c r="E57" s="469"/>
      <c r="F57" s="469"/>
      <c r="G57" s="469"/>
      <c r="H57" s="224"/>
      <c r="I57" s="224"/>
      <c r="J57" s="224"/>
    </row>
    <row r="58" spans="1:10" ht="15" customHeight="1" hidden="1">
      <c r="A58" s="430"/>
      <c r="B58" s="469"/>
      <c r="C58" s="469"/>
      <c r="D58" s="469"/>
      <c r="E58" s="469"/>
      <c r="F58" s="469"/>
      <c r="G58" s="469"/>
      <c r="H58" s="224"/>
      <c r="I58" s="224"/>
      <c r="J58" s="224"/>
    </row>
    <row r="59" spans="1:10" ht="15.75" customHeight="1" hidden="1" thickBot="1">
      <c r="A59" s="1114"/>
      <c r="B59" s="470"/>
      <c r="C59" s="470"/>
      <c r="D59" s="470"/>
      <c r="E59" s="470"/>
      <c r="F59" s="470"/>
      <c r="G59" s="470"/>
      <c r="H59" s="1113"/>
      <c r="I59" s="1113"/>
      <c r="J59" s="224"/>
    </row>
    <row r="60" spans="1:10" ht="15" customHeight="1" hidden="1">
      <c r="A60" s="1114"/>
      <c r="B60" s="470"/>
      <c r="C60" s="470"/>
      <c r="D60" s="470"/>
      <c r="E60" s="470"/>
      <c r="F60" s="470"/>
      <c r="G60" s="470"/>
      <c r="H60" s="1113"/>
      <c r="I60" s="1113"/>
      <c r="J60" s="224"/>
    </row>
    <row r="61" spans="1:10" ht="65.25" customHeight="1" hidden="1">
      <c r="A61" s="466"/>
      <c r="B61" s="468"/>
      <c r="C61" s="468"/>
      <c r="D61" s="468"/>
      <c r="E61" s="468"/>
      <c r="F61" s="468"/>
      <c r="G61" s="468"/>
      <c r="H61" s="471"/>
      <c r="I61" s="471"/>
      <c r="J61" s="466"/>
    </row>
    <row r="62" spans="1:10" ht="15" customHeight="1" hidden="1" thickBot="1">
      <c r="A62" s="466"/>
      <c r="B62" s="468"/>
      <c r="C62" s="468"/>
      <c r="D62" s="468"/>
      <c r="E62" s="468"/>
      <c r="F62" s="468"/>
      <c r="G62" s="468"/>
      <c r="H62" s="471"/>
      <c r="I62" s="471"/>
      <c r="J62" s="466"/>
    </row>
    <row r="63" spans="1:10" ht="15.75" customHeight="1" hidden="1" thickBot="1">
      <c r="A63" s="466"/>
      <c r="B63" s="468"/>
      <c r="C63" s="468"/>
      <c r="D63" s="468"/>
      <c r="E63" s="468"/>
      <c r="F63" s="468"/>
      <c r="G63" s="468"/>
      <c r="H63" s="471"/>
      <c r="I63" s="471"/>
      <c r="J63" s="466"/>
    </row>
    <row r="64" spans="1:10" ht="15" customHeight="1" hidden="1">
      <c r="A64" s="466"/>
      <c r="B64" s="468"/>
      <c r="C64" s="468"/>
      <c r="D64" s="468"/>
      <c r="E64" s="468"/>
      <c r="F64" s="468"/>
      <c r="G64" s="468"/>
      <c r="H64" s="471"/>
      <c r="I64" s="471"/>
      <c r="J64" s="466"/>
    </row>
    <row r="65" spans="1:10" ht="15" customHeight="1" hidden="1">
      <c r="A65" s="466"/>
      <c r="B65" s="468"/>
      <c r="C65" s="468"/>
      <c r="D65" s="468"/>
      <c r="E65" s="468"/>
      <c r="F65" s="468"/>
      <c r="G65" s="468"/>
      <c r="H65" s="471"/>
      <c r="I65" s="471"/>
      <c r="J65" s="466"/>
    </row>
    <row r="66" spans="1:10" ht="15" customHeight="1" hidden="1">
      <c r="A66" s="466"/>
      <c r="B66" s="468"/>
      <c r="C66" s="468"/>
      <c r="D66" s="468"/>
      <c r="E66" s="468"/>
      <c r="F66" s="468"/>
      <c r="G66" s="468"/>
      <c r="H66" s="471"/>
      <c r="I66" s="471"/>
      <c r="J66" s="466"/>
    </row>
    <row r="67" spans="1:10" ht="15" customHeight="1" hidden="1">
      <c r="A67" s="466"/>
      <c r="B67" s="468"/>
      <c r="C67" s="468"/>
      <c r="D67" s="468"/>
      <c r="E67" s="468"/>
      <c r="F67" s="468"/>
      <c r="G67" s="468"/>
      <c r="H67" s="471"/>
      <c r="I67" s="471"/>
      <c r="J67" s="466"/>
    </row>
    <row r="68" spans="1:10" ht="15" customHeight="1" hidden="1">
      <c r="A68" s="466"/>
      <c r="B68" s="468"/>
      <c r="C68" s="468"/>
      <c r="D68" s="468"/>
      <c r="E68" s="468"/>
      <c r="F68" s="468"/>
      <c r="G68" s="468"/>
      <c r="H68" s="471"/>
      <c r="I68" s="471"/>
      <c r="J68" s="466"/>
    </row>
    <row r="69" spans="1:10" ht="15" customHeight="1" hidden="1">
      <c r="A69" s="466"/>
      <c r="B69" s="468"/>
      <c r="C69" s="468"/>
      <c r="D69" s="468"/>
      <c r="E69" s="468"/>
      <c r="F69" s="468"/>
      <c r="G69" s="468"/>
      <c r="H69" s="471"/>
      <c r="I69" s="471"/>
      <c r="J69" s="466"/>
    </row>
    <row r="70" spans="1:12" ht="15" customHeight="1" hidden="1">
      <c r="A70" s="466"/>
      <c r="B70" s="468"/>
      <c r="C70" s="468"/>
      <c r="D70" s="468"/>
      <c r="E70" s="468"/>
      <c r="F70" s="468"/>
      <c r="G70" s="468"/>
      <c r="H70" s="471"/>
      <c r="I70" s="471"/>
      <c r="J70" s="466"/>
      <c r="L70" s="29"/>
    </row>
    <row r="71" spans="1:12" ht="15" customHeight="1" hidden="1">
      <c r="A71" s="466"/>
      <c r="B71" s="468"/>
      <c r="C71" s="468"/>
      <c r="D71" s="468"/>
      <c r="E71" s="468"/>
      <c r="F71" s="468"/>
      <c r="G71" s="468"/>
      <c r="H71" s="471"/>
      <c r="I71" s="471"/>
      <c r="J71" s="466"/>
      <c r="L71" s="29"/>
    </row>
    <row r="72" spans="1:12" ht="15" customHeight="1" hidden="1">
      <c r="A72" s="466"/>
      <c r="B72" s="468"/>
      <c r="C72" s="468"/>
      <c r="D72" s="468"/>
      <c r="E72" s="468"/>
      <c r="F72" s="468"/>
      <c r="G72" s="468"/>
      <c r="H72" s="471"/>
      <c r="I72" s="471"/>
      <c r="J72" s="466"/>
      <c r="L72" s="29"/>
    </row>
    <row r="73" spans="1:12" ht="15" customHeight="1" hidden="1">
      <c r="A73" s="467"/>
      <c r="B73" s="468"/>
      <c r="C73" s="468"/>
      <c r="D73" s="468"/>
      <c r="E73" s="468"/>
      <c r="F73" s="468"/>
      <c r="G73" s="468"/>
      <c r="H73" s="471"/>
      <c r="I73" s="471"/>
      <c r="J73" s="467"/>
      <c r="L73" s="29"/>
    </row>
    <row r="74" spans="1:12" ht="15" customHeight="1" hidden="1">
      <c r="A74" s="466"/>
      <c r="B74" s="468"/>
      <c r="C74" s="468"/>
      <c r="D74" s="468"/>
      <c r="E74" s="468"/>
      <c r="F74" s="468"/>
      <c r="G74" s="468"/>
      <c r="H74" s="471"/>
      <c r="I74" s="471"/>
      <c r="J74" s="466"/>
      <c r="L74" s="29"/>
    </row>
    <row r="75" spans="1:12" ht="15" customHeight="1" hidden="1">
      <c r="A75" s="466"/>
      <c r="B75" s="468"/>
      <c r="C75" s="468"/>
      <c r="D75" s="468"/>
      <c r="E75" s="468"/>
      <c r="F75" s="468"/>
      <c r="G75" s="468"/>
      <c r="H75" s="471"/>
      <c r="I75" s="471"/>
      <c r="J75" s="466"/>
      <c r="L75" s="29"/>
    </row>
    <row r="76" spans="1:12" ht="15" customHeight="1" hidden="1">
      <c r="A76" s="466"/>
      <c r="B76" s="468"/>
      <c r="C76" s="468"/>
      <c r="D76" s="468"/>
      <c r="E76" s="468"/>
      <c r="F76" s="468"/>
      <c r="G76" s="468"/>
      <c r="H76" s="471"/>
      <c r="I76" s="471"/>
      <c r="J76" s="466"/>
      <c r="L76" s="29"/>
    </row>
    <row r="77" spans="1:12" ht="15" customHeight="1" hidden="1">
      <c r="A77" s="464"/>
      <c r="B77" s="472"/>
      <c r="C77" s="472"/>
      <c r="D77" s="472"/>
      <c r="E77" s="472"/>
      <c r="F77" s="472"/>
      <c r="G77" s="472"/>
      <c r="H77" s="464"/>
      <c r="I77" s="464"/>
      <c r="J77" s="473"/>
      <c r="L77" s="29"/>
    </row>
    <row r="78" spans="1:12" ht="15" customHeight="1" hidden="1">
      <c r="A78" s="471"/>
      <c r="B78" s="468"/>
      <c r="C78" s="468"/>
      <c r="D78" s="468"/>
      <c r="E78" s="468"/>
      <c r="F78" s="468"/>
      <c r="G78" s="468"/>
      <c r="H78" s="471"/>
      <c r="I78" s="471"/>
      <c r="J78" s="473"/>
      <c r="L78" s="29"/>
    </row>
    <row r="79" spans="1:12" ht="15" customHeight="1" hidden="1">
      <c r="A79" s="471"/>
      <c r="B79" s="468"/>
      <c r="C79" s="468"/>
      <c r="D79" s="468"/>
      <c r="E79" s="468"/>
      <c r="F79" s="468"/>
      <c r="G79" s="468"/>
      <c r="H79" s="471"/>
      <c r="I79" s="471"/>
      <c r="J79" s="473"/>
      <c r="L79" s="29"/>
    </row>
    <row r="80" spans="1:12" ht="15" customHeight="1" hidden="1">
      <c r="A80" s="430"/>
      <c r="B80" s="465"/>
      <c r="C80" s="465"/>
      <c r="D80" s="465"/>
      <c r="E80" s="465"/>
      <c r="F80" s="465"/>
      <c r="G80" s="465"/>
      <c r="H80" s="430"/>
      <c r="I80" s="430"/>
      <c r="J80" s="430"/>
      <c r="L80" s="29"/>
    </row>
    <row r="81" spans="1:12" ht="15" customHeight="1" hidden="1">
      <c r="A81" s="430"/>
      <c r="B81" s="465"/>
      <c r="C81" s="465"/>
      <c r="D81" s="465"/>
      <c r="E81" s="465"/>
      <c r="F81" s="465"/>
      <c r="G81" s="465"/>
      <c r="H81" s="430"/>
      <c r="I81" s="430"/>
      <c r="J81" s="430"/>
      <c r="L81" s="29"/>
    </row>
    <row r="82" spans="1:12" ht="15" customHeight="1" hidden="1">
      <c r="A82" s="430"/>
      <c r="B82" s="465"/>
      <c r="C82" s="465"/>
      <c r="D82" s="465"/>
      <c r="E82" s="465"/>
      <c r="F82" s="465"/>
      <c r="G82" s="465"/>
      <c r="H82" s="430"/>
      <c r="I82" s="430"/>
      <c r="J82" s="430"/>
      <c r="L82" s="29"/>
    </row>
    <row r="83" spans="1:12" ht="15" customHeight="1" hidden="1">
      <c r="A83" s="430"/>
      <c r="B83" s="465"/>
      <c r="C83" s="465"/>
      <c r="D83" s="465"/>
      <c r="E83" s="465"/>
      <c r="F83" s="465"/>
      <c r="G83" s="465"/>
      <c r="H83" s="430"/>
      <c r="I83" s="430"/>
      <c r="J83" s="430"/>
      <c r="L83" s="29"/>
    </row>
    <row r="84" spans="1:12" ht="15" customHeight="1" hidden="1">
      <c r="A84" s="430"/>
      <c r="B84" s="465"/>
      <c r="C84" s="465"/>
      <c r="D84" s="465"/>
      <c r="E84" s="465"/>
      <c r="F84" s="465"/>
      <c r="G84" s="465"/>
      <c r="H84" s="430"/>
      <c r="I84" s="430"/>
      <c r="J84" s="430"/>
      <c r="L84" s="29"/>
    </row>
    <row r="85" spans="1:12" ht="15.75" customHeight="1" hidden="1" thickBot="1">
      <c r="A85" s="430"/>
      <c r="B85" s="465"/>
      <c r="C85" s="465"/>
      <c r="D85" s="465"/>
      <c r="E85" s="465"/>
      <c r="F85" s="465"/>
      <c r="G85" s="465"/>
      <c r="H85" s="430"/>
      <c r="I85" s="430"/>
      <c r="J85" s="430"/>
      <c r="L85" s="29"/>
    </row>
    <row r="86" spans="1:12" ht="15.75" customHeight="1" hidden="1" thickBot="1">
      <c r="A86" s="430"/>
      <c r="B86" s="465"/>
      <c r="C86" s="465"/>
      <c r="D86" s="465"/>
      <c r="E86" s="465"/>
      <c r="F86" s="465"/>
      <c r="G86" s="465"/>
      <c r="H86" s="430"/>
      <c r="I86" s="430"/>
      <c r="J86" s="430"/>
      <c r="L86" s="29"/>
    </row>
    <row r="87" spans="1:10" ht="15" customHeight="1" hidden="1">
      <c r="A87" s="430"/>
      <c r="B87" s="465"/>
      <c r="C87" s="465"/>
      <c r="D87" s="465"/>
      <c r="E87" s="465"/>
      <c r="F87" s="465"/>
      <c r="G87" s="465"/>
      <c r="H87" s="430"/>
      <c r="I87" s="430"/>
      <c r="J87" s="430"/>
    </row>
    <row r="88" spans="1:10" ht="15" customHeight="1" hidden="1">
      <c r="A88" s="430"/>
      <c r="B88" s="465"/>
      <c r="C88" s="465"/>
      <c r="D88" s="465"/>
      <c r="E88" s="465"/>
      <c r="F88" s="465"/>
      <c r="G88" s="465"/>
      <c r="H88" s="430"/>
      <c r="I88" s="430"/>
      <c r="J88" s="430"/>
    </row>
    <row r="89" spans="1:10" ht="15" customHeight="1" hidden="1">
      <c r="A89" s="430"/>
      <c r="B89" s="465"/>
      <c r="C89" s="465"/>
      <c r="D89" s="465"/>
      <c r="E89" s="465"/>
      <c r="F89" s="465"/>
      <c r="G89" s="465"/>
      <c r="H89" s="430"/>
      <c r="I89" s="430"/>
      <c r="J89" s="430"/>
    </row>
    <row r="90" spans="1:10" ht="15.75" customHeight="1" hidden="1" thickBot="1">
      <c r="A90" s="430"/>
      <c r="B90" s="465"/>
      <c r="C90" s="465"/>
      <c r="D90" s="465"/>
      <c r="E90" s="465"/>
      <c r="F90" s="465"/>
      <c r="G90" s="465"/>
      <c r="H90" s="430"/>
      <c r="I90" s="430"/>
      <c r="J90" s="430"/>
    </row>
    <row r="91" spans="1:10" ht="15" customHeight="1" hidden="1">
      <c r="A91" s="430"/>
      <c r="B91" s="465"/>
      <c r="C91" s="465"/>
      <c r="D91" s="465"/>
      <c r="E91" s="465"/>
      <c r="F91" s="465"/>
      <c r="G91" s="465"/>
      <c r="H91" s="430"/>
      <c r="I91" s="430"/>
      <c r="J91" s="430"/>
    </row>
    <row r="92" spans="1:10" ht="65.25" customHeight="1" hidden="1">
      <c r="A92" s="430"/>
      <c r="B92" s="465"/>
      <c r="C92" s="465"/>
      <c r="D92" s="465"/>
      <c r="E92" s="465"/>
      <c r="F92" s="465"/>
      <c r="G92" s="465"/>
      <c r="H92" s="430"/>
      <c r="I92" s="430"/>
      <c r="J92" s="430"/>
    </row>
    <row r="93" spans="1:10" ht="15" customHeight="1" hidden="1" thickBot="1">
      <c r="A93" s="430"/>
      <c r="B93" s="465"/>
      <c r="C93" s="465"/>
      <c r="D93" s="465"/>
      <c r="E93" s="465"/>
      <c r="F93" s="465"/>
      <c r="G93" s="465"/>
      <c r="H93" s="430"/>
      <c r="I93" s="430"/>
      <c r="J93" s="430"/>
    </row>
    <row r="94" spans="1:10" ht="15.75" customHeight="1" hidden="1" thickBot="1">
      <c r="A94" s="430"/>
      <c r="B94" s="465"/>
      <c r="C94" s="465"/>
      <c r="D94" s="465"/>
      <c r="E94" s="465"/>
      <c r="F94" s="465"/>
      <c r="G94" s="465"/>
      <c r="H94" s="430"/>
      <c r="I94" s="430"/>
      <c r="J94" s="430"/>
    </row>
    <row r="95" spans="1:10" ht="15.75" customHeight="1" hidden="1" thickBot="1">
      <c r="A95" s="430"/>
      <c r="B95" s="465"/>
      <c r="C95" s="465"/>
      <c r="D95" s="465"/>
      <c r="E95" s="465"/>
      <c r="F95" s="465"/>
      <c r="G95" s="465"/>
      <c r="H95" s="430"/>
      <c r="I95" s="430"/>
      <c r="J95" s="430"/>
    </row>
    <row r="96" spans="1:10" ht="15.75" customHeight="1" hidden="1" thickBot="1">
      <c r="A96" s="430"/>
      <c r="B96" s="465"/>
      <c r="C96" s="465"/>
      <c r="D96" s="465"/>
      <c r="E96" s="465"/>
      <c r="F96" s="465"/>
      <c r="G96" s="465"/>
      <c r="H96" s="430"/>
      <c r="I96" s="430"/>
      <c r="J96" s="430"/>
    </row>
    <row r="97" spans="1:10" ht="15" customHeight="1" hidden="1">
      <c r="A97" s="430"/>
      <c r="B97" s="465"/>
      <c r="C97" s="465"/>
      <c r="D97" s="465"/>
      <c r="E97" s="465"/>
      <c r="F97" s="465"/>
      <c r="G97" s="465"/>
      <c r="H97" s="430"/>
      <c r="I97" s="430"/>
      <c r="J97" s="430"/>
    </row>
    <row r="98" spans="1:10" ht="15" customHeight="1" hidden="1">
      <c r="A98" s="430"/>
      <c r="B98" s="465"/>
      <c r="C98" s="465"/>
      <c r="D98" s="465"/>
      <c r="E98" s="465"/>
      <c r="F98" s="465"/>
      <c r="G98" s="465"/>
      <c r="H98" s="430"/>
      <c r="I98" s="430"/>
      <c r="J98" s="430"/>
    </row>
    <row r="99" spans="1:10" ht="15" customHeight="1" hidden="1">
      <c r="A99" s="430"/>
      <c r="B99" s="465"/>
      <c r="C99" s="465"/>
      <c r="D99" s="465"/>
      <c r="E99" s="465"/>
      <c r="F99" s="465"/>
      <c r="G99" s="465"/>
      <c r="H99" s="430"/>
      <c r="I99" s="430"/>
      <c r="J99" s="430"/>
    </row>
    <row r="100" spans="1:10" ht="15.75" customHeight="1" hidden="1" thickBot="1">
      <c r="A100" s="430"/>
      <c r="B100" s="465"/>
      <c r="C100" s="465"/>
      <c r="D100" s="465"/>
      <c r="E100" s="465"/>
      <c r="F100" s="465"/>
      <c r="G100" s="465"/>
      <c r="H100" s="430"/>
      <c r="I100" s="430"/>
      <c r="J100" s="430"/>
    </row>
    <row r="101" spans="1:10" ht="15" customHeight="1" hidden="1">
      <c r="A101" s="430"/>
      <c r="B101" s="465"/>
      <c r="C101" s="465"/>
      <c r="D101" s="465"/>
      <c r="E101" s="465"/>
      <c r="F101" s="465"/>
      <c r="G101" s="465"/>
      <c r="H101" s="430"/>
      <c r="I101" s="430"/>
      <c r="J101" s="430"/>
    </row>
    <row r="102" spans="1:10" ht="65.25" customHeight="1" hidden="1">
      <c r="A102" s="430"/>
      <c r="B102" s="465"/>
      <c r="C102" s="465"/>
      <c r="D102" s="465"/>
      <c r="E102" s="465"/>
      <c r="F102" s="465"/>
      <c r="G102" s="465"/>
      <c r="H102" s="430"/>
      <c r="I102" s="430"/>
      <c r="J102" s="430"/>
    </row>
    <row r="103" spans="1:10" ht="15" customHeight="1" hidden="1" thickBot="1">
      <c r="A103" s="430"/>
      <c r="B103" s="465"/>
      <c r="C103" s="465"/>
      <c r="D103" s="465"/>
      <c r="E103" s="465"/>
      <c r="F103" s="465"/>
      <c r="G103" s="465"/>
      <c r="H103" s="430"/>
      <c r="I103" s="430"/>
      <c r="J103" s="430"/>
    </row>
    <row r="104" spans="1:10" ht="15.75" customHeight="1" hidden="1" thickBot="1">
      <c r="A104" s="430"/>
      <c r="B104" s="465"/>
      <c r="C104" s="465"/>
      <c r="D104" s="465"/>
      <c r="E104" s="465"/>
      <c r="F104" s="465"/>
      <c r="G104" s="465"/>
      <c r="H104" s="430"/>
      <c r="I104" s="430"/>
      <c r="J104" s="430"/>
    </row>
    <row r="105" spans="1:10" ht="15.75" customHeight="1" hidden="1" thickBot="1">
      <c r="A105" s="430"/>
      <c r="B105" s="465"/>
      <c r="C105" s="465"/>
      <c r="D105" s="465"/>
      <c r="E105" s="465"/>
      <c r="F105" s="465"/>
      <c r="G105" s="465"/>
      <c r="H105" s="430"/>
      <c r="I105" s="430"/>
      <c r="J105" s="430"/>
    </row>
    <row r="106" spans="1:10" ht="15.75" customHeight="1" hidden="1" thickBot="1">
      <c r="A106" s="430"/>
      <c r="B106" s="465"/>
      <c r="C106" s="465"/>
      <c r="D106" s="465"/>
      <c r="E106" s="465"/>
      <c r="F106" s="465"/>
      <c r="G106" s="465"/>
      <c r="H106" s="430"/>
      <c r="I106" s="430"/>
      <c r="J106" s="430"/>
    </row>
    <row r="107" spans="1:10" ht="15" customHeight="1" hidden="1">
      <c r="A107" s="430"/>
      <c r="B107" s="465"/>
      <c r="C107" s="465"/>
      <c r="D107" s="465"/>
      <c r="E107" s="465"/>
      <c r="F107" s="465"/>
      <c r="G107" s="465"/>
      <c r="H107" s="430"/>
      <c r="I107" s="430"/>
      <c r="J107" s="430"/>
    </row>
    <row r="108" spans="1:10" ht="15" customHeight="1" hidden="1">
      <c r="A108" s="430"/>
      <c r="B108" s="465"/>
      <c r="C108" s="465"/>
      <c r="D108" s="465"/>
      <c r="E108" s="465"/>
      <c r="F108" s="465"/>
      <c r="G108" s="465"/>
      <c r="H108" s="430"/>
      <c r="I108" s="430"/>
      <c r="J108" s="430"/>
    </row>
    <row r="109" spans="1:10" ht="15" customHeight="1" hidden="1">
      <c r="A109" s="430"/>
      <c r="B109" s="465"/>
      <c r="C109" s="465"/>
      <c r="D109" s="465"/>
      <c r="E109" s="465"/>
      <c r="F109" s="465"/>
      <c r="G109" s="465"/>
      <c r="H109" s="430"/>
      <c r="I109" s="430"/>
      <c r="J109" s="430"/>
    </row>
    <row r="110" spans="1:10" ht="15.75" customHeight="1" hidden="1" thickBot="1">
      <c r="A110" s="430"/>
      <c r="B110" s="465"/>
      <c r="C110" s="465"/>
      <c r="D110" s="465"/>
      <c r="E110" s="465"/>
      <c r="F110" s="465"/>
      <c r="G110" s="465"/>
      <c r="H110" s="430"/>
      <c r="I110" s="430"/>
      <c r="J110" s="430"/>
    </row>
    <row r="111" spans="1:10" ht="15" customHeight="1" hidden="1">
      <c r="A111" s="430"/>
      <c r="B111" s="465"/>
      <c r="C111" s="465"/>
      <c r="D111" s="465"/>
      <c r="E111" s="465"/>
      <c r="F111" s="465"/>
      <c r="G111" s="465"/>
      <c r="H111" s="430"/>
      <c r="I111" s="430"/>
      <c r="J111" s="430"/>
    </row>
    <row r="112" spans="1:10" ht="65.25" customHeight="1" hidden="1">
      <c r="A112" s="430"/>
      <c r="B112" s="465"/>
      <c r="C112" s="465"/>
      <c r="D112" s="465"/>
      <c r="E112" s="465"/>
      <c r="F112" s="465"/>
      <c r="G112" s="465"/>
      <c r="H112" s="430"/>
      <c r="I112" s="430"/>
      <c r="J112" s="430"/>
    </row>
    <row r="113" spans="1:10" ht="15" customHeight="1" hidden="1" thickBot="1">
      <c r="A113" s="430"/>
      <c r="B113" s="465"/>
      <c r="C113" s="465"/>
      <c r="D113" s="465"/>
      <c r="E113" s="465"/>
      <c r="F113" s="465"/>
      <c r="G113" s="465"/>
      <c r="H113" s="430"/>
      <c r="I113" s="430"/>
      <c r="J113" s="430"/>
    </row>
    <row r="114" spans="1:10" ht="15.75" customHeight="1" hidden="1" thickBot="1">
      <c r="A114" s="430"/>
      <c r="B114" s="465"/>
      <c r="C114" s="465"/>
      <c r="D114" s="465"/>
      <c r="E114" s="465"/>
      <c r="F114" s="465"/>
      <c r="G114" s="465"/>
      <c r="H114" s="430"/>
      <c r="I114" s="430"/>
      <c r="J114" s="430"/>
    </row>
    <row r="115" spans="1:10" ht="15.75" customHeight="1" hidden="1" thickBot="1">
      <c r="A115" s="430"/>
      <c r="B115" s="465"/>
      <c r="C115" s="465"/>
      <c r="D115" s="465"/>
      <c r="E115" s="465"/>
      <c r="F115" s="465"/>
      <c r="G115" s="465"/>
      <c r="H115" s="430"/>
      <c r="I115" s="430"/>
      <c r="J115" s="430"/>
    </row>
    <row r="116" spans="1:10" ht="15.75" customHeight="1" hidden="1" thickBot="1">
      <c r="A116" s="430"/>
      <c r="B116" s="465"/>
      <c r="C116" s="465"/>
      <c r="D116" s="465"/>
      <c r="E116" s="465"/>
      <c r="F116" s="465"/>
      <c r="G116" s="465"/>
      <c r="H116" s="430"/>
      <c r="I116" s="430"/>
      <c r="J116" s="430"/>
    </row>
    <row r="117" spans="1:10" ht="15" customHeight="1" hidden="1">
      <c r="A117" s="430"/>
      <c r="B117" s="465"/>
      <c r="C117" s="465"/>
      <c r="D117" s="465"/>
      <c r="E117" s="465"/>
      <c r="F117" s="465"/>
      <c r="G117" s="465"/>
      <c r="H117" s="430"/>
      <c r="I117" s="430"/>
      <c r="J117" s="430"/>
    </row>
    <row r="118" spans="1:10" ht="15" customHeight="1" hidden="1">
      <c r="A118" s="430"/>
      <c r="B118" s="465"/>
      <c r="C118" s="465"/>
      <c r="D118" s="465"/>
      <c r="E118" s="465"/>
      <c r="F118" s="465"/>
      <c r="G118" s="465"/>
      <c r="H118" s="430"/>
      <c r="I118" s="430"/>
      <c r="J118" s="430"/>
    </row>
    <row r="119" spans="1:10" ht="15.75" customHeight="1" hidden="1" thickBot="1">
      <c r="A119" s="430"/>
      <c r="B119" s="465"/>
      <c r="C119" s="465"/>
      <c r="D119" s="465"/>
      <c r="E119" s="465"/>
      <c r="F119" s="465"/>
      <c r="G119" s="465"/>
      <c r="H119" s="430"/>
      <c r="I119" s="430"/>
      <c r="J119" s="430"/>
    </row>
    <row r="120" spans="1:10" ht="15" customHeight="1" hidden="1">
      <c r="A120" s="430"/>
      <c r="B120" s="465"/>
      <c r="C120" s="465"/>
      <c r="D120" s="465"/>
      <c r="E120" s="465"/>
      <c r="F120" s="465"/>
      <c r="G120" s="465"/>
      <c r="H120" s="430"/>
      <c r="I120" s="430"/>
      <c r="J120" s="430"/>
    </row>
    <row r="121" spans="1:10" ht="65.25" customHeight="1" hidden="1">
      <c r="A121" s="430"/>
      <c r="B121" s="465"/>
      <c r="C121" s="465"/>
      <c r="D121" s="465"/>
      <c r="E121" s="465"/>
      <c r="F121" s="465"/>
      <c r="G121" s="465"/>
      <c r="H121" s="430"/>
      <c r="I121" s="430"/>
      <c r="J121" s="430"/>
    </row>
    <row r="122" spans="1:10" ht="15" customHeight="1" hidden="1" thickBot="1">
      <c r="A122" s="430"/>
      <c r="B122" s="465"/>
      <c r="C122" s="465"/>
      <c r="D122" s="465"/>
      <c r="E122" s="465"/>
      <c r="F122" s="465"/>
      <c r="G122" s="465"/>
      <c r="H122" s="430"/>
      <c r="I122" s="430"/>
      <c r="J122" s="430"/>
    </row>
    <row r="123" spans="1:10" ht="15.75" customHeight="1" hidden="1" thickBot="1">
      <c r="A123" s="430"/>
      <c r="B123" s="465"/>
      <c r="C123" s="465"/>
      <c r="D123" s="465"/>
      <c r="E123" s="465"/>
      <c r="F123" s="465"/>
      <c r="G123" s="465"/>
      <c r="H123" s="430"/>
      <c r="I123" s="430"/>
      <c r="J123" s="430"/>
    </row>
    <row r="124" spans="1:10" ht="15" customHeight="1" hidden="1">
      <c r="A124" s="430"/>
      <c r="B124" s="465"/>
      <c r="C124" s="465"/>
      <c r="D124" s="465"/>
      <c r="E124" s="465"/>
      <c r="F124" s="465"/>
      <c r="G124" s="465"/>
      <c r="H124" s="430"/>
      <c r="I124" s="430"/>
      <c r="J124" s="430"/>
    </row>
    <row r="125" spans="1:10" ht="15" customHeight="1" hidden="1">
      <c r="A125" s="430"/>
      <c r="B125" s="465"/>
      <c r="C125" s="465"/>
      <c r="D125" s="465"/>
      <c r="E125" s="465"/>
      <c r="F125" s="465"/>
      <c r="G125" s="465"/>
      <c r="H125" s="430"/>
      <c r="I125" s="430"/>
      <c r="J125" s="430"/>
    </row>
    <row r="126" spans="1:10" ht="15" customHeight="1" hidden="1">
      <c r="A126" s="430"/>
      <c r="B126" s="465"/>
      <c r="C126" s="465"/>
      <c r="D126" s="465"/>
      <c r="E126" s="465"/>
      <c r="F126" s="465"/>
      <c r="G126" s="465"/>
      <c r="H126" s="430"/>
      <c r="I126" s="430"/>
      <c r="J126" s="430"/>
    </row>
    <row r="127" spans="1:10" ht="15" customHeight="1" hidden="1">
      <c r="A127" s="430"/>
      <c r="B127" s="465"/>
      <c r="C127" s="465"/>
      <c r="D127" s="465"/>
      <c r="E127" s="465"/>
      <c r="F127" s="465"/>
      <c r="G127" s="465"/>
      <c r="H127" s="430"/>
      <c r="I127" s="430"/>
      <c r="J127" s="430"/>
    </row>
    <row r="128" spans="1:10" ht="15.75" customHeight="1" hidden="1" thickBot="1">
      <c r="A128" s="430"/>
      <c r="B128" s="465"/>
      <c r="C128" s="465"/>
      <c r="D128" s="465"/>
      <c r="E128" s="465"/>
      <c r="F128" s="465"/>
      <c r="G128" s="465"/>
      <c r="H128" s="430"/>
      <c r="I128" s="430"/>
      <c r="J128" s="430"/>
    </row>
    <row r="129" spans="1:10" ht="15.75" customHeight="1" hidden="1" thickBot="1">
      <c r="A129" s="430"/>
      <c r="B129" s="465"/>
      <c r="C129" s="465"/>
      <c r="D129" s="465"/>
      <c r="E129" s="465"/>
      <c r="F129" s="465"/>
      <c r="G129" s="465"/>
      <c r="H129" s="430"/>
      <c r="I129" s="430"/>
      <c r="J129" s="430"/>
    </row>
    <row r="130" spans="1:10" ht="15" customHeight="1" hidden="1">
      <c r="A130" s="430"/>
      <c r="B130" s="465"/>
      <c r="C130" s="465"/>
      <c r="D130" s="465"/>
      <c r="E130" s="465"/>
      <c r="F130" s="465"/>
      <c r="G130" s="465"/>
      <c r="H130" s="430"/>
      <c r="I130" s="430"/>
      <c r="J130" s="430"/>
    </row>
    <row r="131" spans="1:10" ht="15" customHeight="1" hidden="1">
      <c r="A131" s="430"/>
      <c r="B131" s="465"/>
      <c r="C131" s="465"/>
      <c r="D131" s="465"/>
      <c r="E131" s="465"/>
      <c r="F131" s="465"/>
      <c r="G131" s="465"/>
      <c r="H131" s="430"/>
      <c r="I131" s="430"/>
      <c r="J131" s="430"/>
    </row>
    <row r="132" spans="1:10" ht="15.75" customHeight="1" hidden="1" thickBot="1">
      <c r="A132" s="430"/>
      <c r="B132" s="465"/>
      <c r="C132" s="465"/>
      <c r="D132" s="465"/>
      <c r="E132" s="465"/>
      <c r="F132" s="465"/>
      <c r="G132" s="465"/>
      <c r="H132" s="430"/>
      <c r="I132" s="430"/>
      <c r="J132" s="430"/>
    </row>
    <row r="133" spans="1:10" ht="15" customHeight="1" hidden="1">
      <c r="A133" s="430"/>
      <c r="B133" s="465"/>
      <c r="C133" s="465"/>
      <c r="D133" s="465"/>
      <c r="E133" s="465"/>
      <c r="F133" s="465"/>
      <c r="G133" s="465"/>
      <c r="H133" s="430"/>
      <c r="I133" s="430"/>
      <c r="J133" s="430"/>
    </row>
    <row r="134" spans="1:10" ht="65.25" customHeight="1" hidden="1">
      <c r="A134" s="430"/>
      <c r="B134" s="465"/>
      <c r="C134" s="465"/>
      <c r="D134" s="465"/>
      <c r="E134" s="465"/>
      <c r="F134" s="465"/>
      <c r="G134" s="465"/>
      <c r="H134" s="430"/>
      <c r="I134" s="430"/>
      <c r="J134" s="430"/>
    </row>
    <row r="135" spans="1:10" ht="15" customHeight="1" hidden="1" thickBot="1">
      <c r="A135" s="430"/>
      <c r="B135" s="465"/>
      <c r="C135" s="465"/>
      <c r="D135" s="465"/>
      <c r="E135" s="465"/>
      <c r="F135" s="465"/>
      <c r="G135" s="465"/>
      <c r="H135" s="430"/>
      <c r="I135" s="430"/>
      <c r="J135" s="430"/>
    </row>
    <row r="136" spans="1:10" ht="15.75" customHeight="1" hidden="1" thickBot="1">
      <c r="A136" s="430"/>
      <c r="B136" s="465"/>
      <c r="C136" s="465"/>
      <c r="D136" s="465"/>
      <c r="E136" s="465"/>
      <c r="F136" s="465"/>
      <c r="G136" s="465"/>
      <c r="H136" s="430"/>
      <c r="I136" s="430"/>
      <c r="J136" s="430"/>
    </row>
    <row r="137" spans="1:10" ht="15.75" customHeight="1" hidden="1" thickBot="1">
      <c r="A137" s="430"/>
      <c r="B137" s="465"/>
      <c r="C137" s="465"/>
      <c r="D137" s="465"/>
      <c r="E137" s="465"/>
      <c r="F137" s="465"/>
      <c r="G137" s="465"/>
      <c r="H137" s="430"/>
      <c r="I137" s="430"/>
      <c r="J137" s="430"/>
    </row>
    <row r="138" spans="1:10" ht="15.75" customHeight="1" hidden="1" thickBot="1">
      <c r="A138" s="430"/>
      <c r="B138" s="465"/>
      <c r="C138" s="465"/>
      <c r="D138" s="465"/>
      <c r="E138" s="465"/>
      <c r="F138" s="465"/>
      <c r="G138" s="465"/>
      <c r="H138" s="430"/>
      <c r="I138" s="430"/>
      <c r="J138" s="430"/>
    </row>
    <row r="139" spans="1:10" ht="15" customHeight="1" hidden="1">
      <c r="A139" s="430"/>
      <c r="B139" s="465"/>
      <c r="C139" s="465"/>
      <c r="D139" s="465"/>
      <c r="E139" s="465"/>
      <c r="F139" s="465"/>
      <c r="G139" s="465"/>
      <c r="H139" s="430"/>
      <c r="I139" s="430"/>
      <c r="J139" s="430"/>
    </row>
    <row r="140" spans="1:10" ht="15" customHeight="1" hidden="1">
      <c r="A140" s="430"/>
      <c r="B140" s="465"/>
      <c r="C140" s="465"/>
      <c r="D140" s="465"/>
      <c r="E140" s="465"/>
      <c r="F140" s="465"/>
      <c r="G140" s="465"/>
      <c r="H140" s="430"/>
      <c r="I140" s="430"/>
      <c r="J140" s="430"/>
    </row>
    <row r="141" spans="1:10" ht="15.75" customHeight="1" hidden="1" thickBot="1">
      <c r="A141" s="430"/>
      <c r="B141" s="465"/>
      <c r="C141" s="465"/>
      <c r="D141" s="465"/>
      <c r="E141" s="465"/>
      <c r="F141" s="465"/>
      <c r="G141" s="465"/>
      <c r="H141" s="430"/>
      <c r="I141" s="430"/>
      <c r="J141" s="430"/>
    </row>
    <row r="142" spans="1:10" ht="15" customHeight="1" hidden="1">
      <c r="A142" s="430"/>
      <c r="B142" s="465"/>
      <c r="C142" s="465"/>
      <c r="D142" s="465"/>
      <c r="E142" s="465"/>
      <c r="F142" s="465"/>
      <c r="G142" s="465"/>
      <c r="H142" s="430"/>
      <c r="I142" s="430"/>
      <c r="J142" s="430"/>
    </row>
    <row r="143" spans="1:10" ht="65.25" customHeight="1" hidden="1">
      <c r="A143" s="430"/>
      <c r="B143" s="465"/>
      <c r="C143" s="465"/>
      <c r="D143" s="465"/>
      <c r="E143" s="465"/>
      <c r="F143" s="465"/>
      <c r="G143" s="465"/>
      <c r="H143" s="430"/>
      <c r="I143" s="430"/>
      <c r="J143" s="430"/>
    </row>
    <row r="144" spans="1:10" ht="15" customHeight="1" hidden="1" thickBot="1">
      <c r="A144" s="430"/>
      <c r="B144" s="465"/>
      <c r="C144" s="465"/>
      <c r="D144" s="465"/>
      <c r="E144" s="465"/>
      <c r="F144" s="465"/>
      <c r="G144" s="465"/>
      <c r="H144" s="430"/>
      <c r="I144" s="430"/>
      <c r="J144" s="430"/>
    </row>
    <row r="145" spans="1:10" ht="15.75" customHeight="1" hidden="1" thickBot="1">
      <c r="A145" s="430"/>
      <c r="B145" s="465"/>
      <c r="C145" s="465"/>
      <c r="D145" s="465"/>
      <c r="E145" s="465"/>
      <c r="F145" s="465"/>
      <c r="G145" s="465"/>
      <c r="H145" s="430"/>
      <c r="I145" s="430"/>
      <c r="J145" s="430"/>
    </row>
    <row r="146" spans="1:10" ht="15" customHeight="1" hidden="1">
      <c r="A146" s="430"/>
      <c r="B146" s="465"/>
      <c r="C146" s="465"/>
      <c r="D146" s="465"/>
      <c r="E146" s="465"/>
      <c r="F146" s="465"/>
      <c r="G146" s="465"/>
      <c r="H146" s="430"/>
      <c r="I146" s="430"/>
      <c r="J146" s="430"/>
    </row>
    <row r="147" spans="1:10" ht="15.75" customHeight="1" hidden="1" thickBot="1">
      <c r="A147" s="430"/>
      <c r="B147" s="465"/>
      <c r="C147" s="465"/>
      <c r="D147" s="465"/>
      <c r="E147" s="465"/>
      <c r="F147" s="465"/>
      <c r="G147" s="465"/>
      <c r="H147" s="430"/>
      <c r="I147" s="430"/>
      <c r="J147" s="430"/>
    </row>
    <row r="148" spans="1:10" ht="15.75" customHeight="1" hidden="1" thickBot="1">
      <c r="A148" s="430"/>
      <c r="B148" s="465"/>
      <c r="C148" s="465"/>
      <c r="D148" s="465"/>
      <c r="E148" s="465"/>
      <c r="F148" s="465"/>
      <c r="G148" s="465"/>
      <c r="H148" s="430"/>
      <c r="I148" s="430"/>
      <c r="J148" s="430"/>
    </row>
    <row r="149" spans="1:10" ht="15" customHeight="1" hidden="1">
      <c r="A149" s="430"/>
      <c r="B149" s="465"/>
      <c r="C149" s="465"/>
      <c r="D149" s="465"/>
      <c r="E149" s="465"/>
      <c r="F149" s="465"/>
      <c r="G149" s="465"/>
      <c r="H149" s="430"/>
      <c r="I149" s="430"/>
      <c r="J149" s="430"/>
    </row>
    <row r="150" spans="1:10" ht="15.75">
      <c r="A150" s="430"/>
      <c r="B150" s="465"/>
      <c r="C150" s="465"/>
      <c r="D150" s="465"/>
      <c r="E150" s="465"/>
      <c r="F150" s="465"/>
      <c r="G150" s="465"/>
      <c r="H150" s="430"/>
      <c r="I150" s="430"/>
      <c r="J150" s="430"/>
    </row>
    <row r="151" spans="1:10" ht="15.75">
      <c r="A151" s="430"/>
      <c r="B151" s="465"/>
      <c r="C151" s="465"/>
      <c r="D151" s="465"/>
      <c r="E151" s="465"/>
      <c r="F151" s="465"/>
      <c r="G151" s="465"/>
      <c r="H151" s="430"/>
      <c r="I151" s="430"/>
      <c r="J151" s="430"/>
    </row>
    <row r="152" spans="1:10" ht="15.75">
      <c r="A152" s="430"/>
      <c r="B152" s="465"/>
      <c r="C152" s="465"/>
      <c r="D152" s="465"/>
      <c r="E152" s="465"/>
      <c r="F152" s="465"/>
      <c r="G152" s="465"/>
      <c r="H152" s="430"/>
      <c r="I152" s="430"/>
      <c r="J152" s="430"/>
    </row>
    <row r="153" spans="1:10" ht="15.75">
      <c r="A153" s="430"/>
      <c r="B153" s="465"/>
      <c r="C153" s="465"/>
      <c r="D153" s="465"/>
      <c r="E153" s="465"/>
      <c r="F153" s="465"/>
      <c r="G153" s="465"/>
      <c r="H153" s="430"/>
      <c r="I153" s="430"/>
      <c r="J153" s="430"/>
    </row>
    <row r="154" spans="1:10" ht="15.75">
      <c r="A154" s="430"/>
      <c r="B154" s="465"/>
      <c r="C154" s="465"/>
      <c r="D154" s="465"/>
      <c r="E154" s="465"/>
      <c r="F154" s="465"/>
      <c r="G154" s="465"/>
      <c r="H154" s="430"/>
      <c r="I154" s="430"/>
      <c r="J154" s="430"/>
    </row>
    <row r="155" spans="1:10" ht="15.75">
      <c r="A155" s="430"/>
      <c r="B155" s="465"/>
      <c r="C155" s="465"/>
      <c r="D155" s="465"/>
      <c r="E155" s="465"/>
      <c r="F155" s="465"/>
      <c r="G155" s="465"/>
      <c r="H155" s="430"/>
      <c r="I155" s="430"/>
      <c r="J155" s="430"/>
    </row>
    <row r="156" spans="1:10" ht="15.75">
      <c r="A156" s="430"/>
      <c r="B156" s="465"/>
      <c r="C156" s="465"/>
      <c r="D156" s="465"/>
      <c r="E156" s="465"/>
      <c r="F156" s="465"/>
      <c r="G156" s="465"/>
      <c r="H156" s="430"/>
      <c r="I156" s="430"/>
      <c r="J156" s="430"/>
    </row>
    <row r="157" spans="1:10" ht="15.75">
      <c r="A157" s="430"/>
      <c r="B157" s="465"/>
      <c r="C157" s="465"/>
      <c r="D157" s="465"/>
      <c r="E157" s="465"/>
      <c r="F157" s="465"/>
      <c r="G157" s="465"/>
      <c r="H157" s="430"/>
      <c r="I157" s="430"/>
      <c r="J157" s="430"/>
    </row>
    <row r="158" spans="1:10" ht="15.75">
      <c r="A158" s="430"/>
      <c r="B158" s="465"/>
      <c r="C158" s="465"/>
      <c r="D158" s="465"/>
      <c r="E158" s="465"/>
      <c r="F158" s="465"/>
      <c r="G158" s="465"/>
      <c r="H158" s="430"/>
      <c r="I158" s="430"/>
      <c r="J158" s="430"/>
    </row>
  </sheetData>
  <sheetProtection/>
  <mergeCells count="19">
    <mergeCell ref="G1:K1"/>
    <mergeCell ref="F7:G7"/>
    <mergeCell ref="H7:H8"/>
    <mergeCell ref="B7:B8"/>
    <mergeCell ref="C7:D7"/>
    <mergeCell ref="E7:E8"/>
    <mergeCell ref="A3:J3"/>
    <mergeCell ref="E4:J4"/>
    <mergeCell ref="A5:A8"/>
    <mergeCell ref="B5:G5"/>
    <mergeCell ref="H59:H60"/>
    <mergeCell ref="I59:I60"/>
    <mergeCell ref="A29:B29"/>
    <mergeCell ref="A35:A36"/>
    <mergeCell ref="A59:A60"/>
    <mergeCell ref="H5:J6"/>
    <mergeCell ref="B6:D6"/>
    <mergeCell ref="E6:G6"/>
    <mergeCell ref="I7:J7"/>
  </mergeCells>
  <printOptions/>
  <pageMargins left="0.42" right="0.28" top="0.38" bottom="0.27" header="0.31496062992125984" footer="0.31496062992125984"/>
  <pageSetup fitToHeight="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view="pageBreakPreview" zoomScale="70" zoomScaleSheetLayoutView="70" zoomScalePageLayoutView="0" workbookViewId="0" topLeftCell="A4">
      <selection activeCell="D8" sqref="D8"/>
    </sheetView>
  </sheetViews>
  <sheetFormatPr defaultColWidth="9.140625" defaultRowHeight="15"/>
  <cols>
    <col min="1" max="1" width="71.421875" style="0" customWidth="1"/>
    <col min="2" max="2" width="13.00390625" style="427" customWidth="1"/>
    <col min="3" max="3" width="13.8515625" style="427" customWidth="1"/>
    <col min="4" max="4" width="15.00390625" style="427" customWidth="1"/>
    <col min="5" max="5" width="14.140625" style="427" customWidth="1"/>
    <col min="6" max="6" width="14.28125" style="427" customWidth="1"/>
    <col min="7" max="7" width="14.7109375" style="427" customWidth="1"/>
    <col min="8" max="8" width="13.7109375" style="0" customWidth="1"/>
    <col min="9" max="9" width="15.57421875" style="0" customWidth="1"/>
    <col min="10" max="10" width="19.00390625" style="0" customWidth="1"/>
    <col min="11" max="11" width="7.7109375" style="475" customWidth="1"/>
    <col min="12" max="16384" width="9.140625" style="20" customWidth="1"/>
  </cols>
  <sheetData>
    <row r="1" spans="7:11" ht="72.75" customHeight="1">
      <c r="G1" s="1164" t="s">
        <v>233</v>
      </c>
      <c r="H1" s="1164"/>
      <c r="I1" s="1164"/>
      <c r="J1" s="1164"/>
      <c r="K1" s="416"/>
    </row>
    <row r="2" spans="1:11" ht="15.75">
      <c r="A2" s="224"/>
      <c r="B2" s="465"/>
      <c r="C2" s="465"/>
      <c r="D2" s="465"/>
      <c r="E2" s="465"/>
      <c r="F2" s="465"/>
      <c r="G2" s="465"/>
      <c r="H2" s="474"/>
      <c r="I2" s="474"/>
      <c r="J2" s="474"/>
      <c r="K2" s="413"/>
    </row>
    <row r="3" spans="1:9" ht="30" customHeight="1" thickBot="1">
      <c r="A3" s="1165" t="s">
        <v>189</v>
      </c>
      <c r="B3" s="1165"/>
      <c r="C3" s="1165"/>
      <c r="D3" s="1165"/>
      <c r="E3" s="1165"/>
      <c r="F3" s="1165"/>
      <c r="G3" s="1165"/>
      <c r="H3" s="1165"/>
      <c r="I3" s="1165"/>
    </row>
    <row r="4" spans="1:10" ht="21.75" customHeight="1" thickBot="1">
      <c r="A4" s="1151" t="s">
        <v>190</v>
      </c>
      <c r="B4" s="1154" t="s">
        <v>240</v>
      </c>
      <c r="C4" s="1155"/>
      <c r="D4" s="1155"/>
      <c r="E4" s="1155"/>
      <c r="F4" s="1155"/>
      <c r="G4" s="1156"/>
      <c r="H4" s="1157" t="s">
        <v>234</v>
      </c>
      <c r="I4" s="1158"/>
      <c r="J4" s="1159"/>
    </row>
    <row r="5" spans="1:10" ht="56.25" customHeight="1" thickBot="1">
      <c r="A5" s="1152"/>
      <c r="B5" s="1079" t="s">
        <v>137</v>
      </c>
      <c r="C5" s="1080"/>
      <c r="D5" s="1163"/>
      <c r="E5" s="1080" t="s">
        <v>138</v>
      </c>
      <c r="F5" s="1080"/>
      <c r="G5" s="1163"/>
      <c r="H5" s="1160"/>
      <c r="I5" s="1161"/>
      <c r="J5" s="1162"/>
    </row>
    <row r="6" spans="1:10" ht="27" customHeight="1">
      <c r="A6" s="1152"/>
      <c r="B6" s="1149" t="s">
        <v>150</v>
      </c>
      <c r="C6" s="1144" t="s">
        <v>183</v>
      </c>
      <c r="D6" s="1145"/>
      <c r="E6" s="1146" t="s">
        <v>150</v>
      </c>
      <c r="F6" s="1144" t="s">
        <v>183</v>
      </c>
      <c r="G6" s="1145"/>
      <c r="H6" s="1146" t="s">
        <v>150</v>
      </c>
      <c r="I6" s="1144" t="s">
        <v>183</v>
      </c>
      <c r="J6" s="1145"/>
    </row>
    <row r="7" spans="1:11" ht="29.25" customHeight="1" thickBot="1">
      <c r="A7" s="1153"/>
      <c r="B7" s="1150"/>
      <c r="C7" s="479" t="s">
        <v>152</v>
      </c>
      <c r="D7" s="815" t="s">
        <v>153</v>
      </c>
      <c r="E7" s="1147"/>
      <c r="F7" s="479" t="s">
        <v>152</v>
      </c>
      <c r="G7" s="815" t="s">
        <v>153</v>
      </c>
      <c r="H7" s="1147"/>
      <c r="I7" s="479" t="s">
        <v>152</v>
      </c>
      <c r="J7" s="815" t="s">
        <v>153</v>
      </c>
      <c r="K7" s="477"/>
    </row>
    <row r="8" spans="1:10" ht="29.25" customHeight="1" thickBot="1">
      <c r="A8" s="486" t="s">
        <v>156</v>
      </c>
      <c r="B8" s="769">
        <v>1</v>
      </c>
      <c r="C8" s="770">
        <v>2</v>
      </c>
      <c r="D8" s="771">
        <v>3</v>
      </c>
      <c r="E8" s="816">
        <v>4</v>
      </c>
      <c r="F8" s="770">
        <v>5</v>
      </c>
      <c r="G8" s="771">
        <v>6</v>
      </c>
      <c r="H8" s="817">
        <v>7</v>
      </c>
      <c r="I8" s="488">
        <v>8</v>
      </c>
      <c r="J8" s="818">
        <v>9</v>
      </c>
    </row>
    <row r="9" spans="1:10" ht="19.5" customHeight="1">
      <c r="A9" s="498" t="s">
        <v>205</v>
      </c>
      <c r="B9" s="772">
        <f>C9+D9</f>
        <v>30</v>
      </c>
      <c r="C9" s="819">
        <v>30</v>
      </c>
      <c r="D9" s="820"/>
      <c r="E9" s="821">
        <f>F9+G9</f>
        <v>420</v>
      </c>
      <c r="F9" s="819">
        <v>420</v>
      </c>
      <c r="G9" s="822">
        <v>0</v>
      </c>
      <c r="H9" s="823">
        <f>I9+J9</f>
        <v>450</v>
      </c>
      <c r="I9" s="824">
        <f>C9+F9</f>
        <v>450</v>
      </c>
      <c r="J9" s="825">
        <f>G9+D9</f>
        <v>0</v>
      </c>
    </row>
    <row r="10" spans="1:10" ht="19.5" customHeight="1">
      <c r="A10" s="514" t="s">
        <v>162</v>
      </c>
      <c r="B10" s="772">
        <f aca="true" t="shared" si="0" ref="B10:B29">C10+D10</f>
        <v>0</v>
      </c>
      <c r="C10" s="826"/>
      <c r="D10" s="827"/>
      <c r="E10" s="821">
        <f aca="true" t="shared" si="1" ref="E10:E31">F10+G10</f>
        <v>70</v>
      </c>
      <c r="F10" s="826">
        <v>70</v>
      </c>
      <c r="G10" s="828">
        <v>0</v>
      </c>
      <c r="H10" s="829">
        <f aca="true" t="shared" si="2" ref="H10:H28">I10+J10</f>
        <v>70</v>
      </c>
      <c r="I10" s="516">
        <f aca="true" t="shared" si="3" ref="I10:I29">C10+F10</f>
        <v>70</v>
      </c>
      <c r="J10" s="830">
        <f aca="true" t="shared" si="4" ref="J10:J29">G10+D10</f>
        <v>0</v>
      </c>
    </row>
    <row r="11" spans="1:10" ht="19.5" customHeight="1">
      <c r="A11" s="514" t="s">
        <v>160</v>
      </c>
      <c r="B11" s="772">
        <f t="shared" si="0"/>
        <v>0</v>
      </c>
      <c r="C11" s="826"/>
      <c r="D11" s="827"/>
      <c r="E11" s="821">
        <f t="shared" si="1"/>
        <v>30</v>
      </c>
      <c r="F11" s="826">
        <v>30</v>
      </c>
      <c r="G11" s="828">
        <v>0</v>
      </c>
      <c r="H11" s="829">
        <f t="shared" si="2"/>
        <v>30</v>
      </c>
      <c r="I11" s="516">
        <f t="shared" si="3"/>
        <v>30</v>
      </c>
      <c r="J11" s="830">
        <f t="shared" si="4"/>
        <v>0</v>
      </c>
    </row>
    <row r="12" spans="1:10" ht="19.5" customHeight="1">
      <c r="A12" s="514" t="s">
        <v>161</v>
      </c>
      <c r="B12" s="772">
        <f t="shared" si="0"/>
        <v>6</v>
      </c>
      <c r="C12" s="826">
        <v>6</v>
      </c>
      <c r="D12" s="827"/>
      <c r="E12" s="821">
        <f t="shared" si="1"/>
        <v>50</v>
      </c>
      <c r="F12" s="826">
        <v>50</v>
      </c>
      <c r="G12" s="828">
        <v>0</v>
      </c>
      <c r="H12" s="829">
        <f t="shared" si="2"/>
        <v>56</v>
      </c>
      <c r="I12" s="516">
        <f t="shared" si="3"/>
        <v>56</v>
      </c>
      <c r="J12" s="830">
        <f t="shared" si="4"/>
        <v>0</v>
      </c>
    </row>
    <row r="13" spans="1:10" ht="19.5" customHeight="1">
      <c r="A13" s="514" t="s">
        <v>158</v>
      </c>
      <c r="B13" s="772">
        <f t="shared" si="0"/>
        <v>6</v>
      </c>
      <c r="C13" s="826"/>
      <c r="D13" s="827">
        <v>6</v>
      </c>
      <c r="E13" s="821">
        <f t="shared" si="1"/>
        <v>300</v>
      </c>
      <c r="F13" s="826">
        <v>0</v>
      </c>
      <c r="G13" s="828">
        <v>300</v>
      </c>
      <c r="H13" s="829">
        <f t="shared" si="2"/>
        <v>306</v>
      </c>
      <c r="I13" s="516">
        <f t="shared" si="3"/>
        <v>0</v>
      </c>
      <c r="J13" s="830">
        <f t="shared" si="4"/>
        <v>306</v>
      </c>
    </row>
    <row r="14" spans="1:10" ht="19.5" customHeight="1">
      <c r="A14" s="514" t="s">
        <v>159</v>
      </c>
      <c r="B14" s="772">
        <f t="shared" si="0"/>
        <v>14</v>
      </c>
      <c r="C14" s="826">
        <v>14</v>
      </c>
      <c r="D14" s="827"/>
      <c r="E14" s="821">
        <f t="shared" si="1"/>
        <v>450</v>
      </c>
      <c r="F14" s="826">
        <v>450</v>
      </c>
      <c r="G14" s="828">
        <v>0</v>
      </c>
      <c r="H14" s="829">
        <f t="shared" si="2"/>
        <v>464</v>
      </c>
      <c r="I14" s="516">
        <f t="shared" si="3"/>
        <v>464</v>
      </c>
      <c r="J14" s="830">
        <f t="shared" si="4"/>
        <v>0</v>
      </c>
    </row>
    <row r="15" spans="1:10" ht="19.5" customHeight="1">
      <c r="A15" s="514" t="s">
        <v>206</v>
      </c>
      <c r="B15" s="772">
        <f t="shared" si="0"/>
        <v>0</v>
      </c>
      <c r="C15" s="826"/>
      <c r="D15" s="827"/>
      <c r="E15" s="821">
        <f t="shared" si="1"/>
        <v>80</v>
      </c>
      <c r="F15" s="826">
        <v>0</v>
      </c>
      <c r="G15" s="828">
        <v>80</v>
      </c>
      <c r="H15" s="829">
        <f t="shared" si="2"/>
        <v>80</v>
      </c>
      <c r="I15" s="516">
        <f t="shared" si="3"/>
        <v>0</v>
      </c>
      <c r="J15" s="830">
        <f t="shared" si="4"/>
        <v>80</v>
      </c>
    </row>
    <row r="16" spans="1:10" ht="19.5" customHeight="1">
      <c r="A16" s="514" t="s">
        <v>207</v>
      </c>
      <c r="B16" s="772">
        <f t="shared" si="0"/>
        <v>8</v>
      </c>
      <c r="C16" s="826">
        <v>8</v>
      </c>
      <c r="D16" s="827"/>
      <c r="E16" s="821">
        <f t="shared" si="1"/>
        <v>300</v>
      </c>
      <c r="F16" s="826">
        <v>300</v>
      </c>
      <c r="G16" s="828">
        <v>0</v>
      </c>
      <c r="H16" s="831">
        <f t="shared" si="2"/>
        <v>308</v>
      </c>
      <c r="I16" s="516">
        <f t="shared" si="3"/>
        <v>308</v>
      </c>
      <c r="J16" s="830">
        <f t="shared" si="4"/>
        <v>0</v>
      </c>
    </row>
    <row r="17" spans="1:10" ht="19.5" customHeight="1">
      <c r="A17" s="514" t="s">
        <v>208</v>
      </c>
      <c r="B17" s="772">
        <f t="shared" si="0"/>
        <v>8</v>
      </c>
      <c r="C17" s="826">
        <v>8</v>
      </c>
      <c r="D17" s="827"/>
      <c r="E17" s="821">
        <f t="shared" si="1"/>
        <v>120</v>
      </c>
      <c r="F17" s="826">
        <v>120</v>
      </c>
      <c r="G17" s="828">
        <v>0</v>
      </c>
      <c r="H17" s="829">
        <f t="shared" si="2"/>
        <v>128</v>
      </c>
      <c r="I17" s="516">
        <f t="shared" si="3"/>
        <v>128</v>
      </c>
      <c r="J17" s="830">
        <f t="shared" si="4"/>
        <v>0</v>
      </c>
    </row>
    <row r="18" spans="1:10" ht="19.5" customHeight="1">
      <c r="A18" s="514" t="s">
        <v>209</v>
      </c>
      <c r="B18" s="772">
        <f t="shared" si="0"/>
        <v>15</v>
      </c>
      <c r="C18" s="826">
        <f>10+5</f>
        <v>15</v>
      </c>
      <c r="D18" s="827"/>
      <c r="E18" s="821">
        <f t="shared" si="1"/>
        <v>165</v>
      </c>
      <c r="F18" s="826">
        <f>150-5</f>
        <v>145</v>
      </c>
      <c r="G18" s="828">
        <v>20</v>
      </c>
      <c r="H18" s="829">
        <f t="shared" si="2"/>
        <v>180</v>
      </c>
      <c r="I18" s="516">
        <f t="shared" si="3"/>
        <v>160</v>
      </c>
      <c r="J18" s="830">
        <f t="shared" si="4"/>
        <v>20</v>
      </c>
    </row>
    <row r="19" spans="1:10" ht="19.5" customHeight="1">
      <c r="A19" s="514" t="s">
        <v>210</v>
      </c>
      <c r="B19" s="772">
        <f t="shared" si="0"/>
        <v>6</v>
      </c>
      <c r="C19" s="826">
        <v>6</v>
      </c>
      <c r="D19" s="827"/>
      <c r="E19" s="821">
        <f t="shared" si="1"/>
        <v>120</v>
      </c>
      <c r="F19" s="826">
        <v>80</v>
      </c>
      <c r="G19" s="828">
        <v>40</v>
      </c>
      <c r="H19" s="829">
        <f t="shared" si="2"/>
        <v>126</v>
      </c>
      <c r="I19" s="516">
        <f t="shared" si="3"/>
        <v>86</v>
      </c>
      <c r="J19" s="830">
        <f t="shared" si="4"/>
        <v>40</v>
      </c>
    </row>
    <row r="20" spans="1:10" ht="19.5" customHeight="1">
      <c r="A20" s="514" t="s">
        <v>211</v>
      </c>
      <c r="B20" s="772">
        <f t="shared" si="0"/>
        <v>0</v>
      </c>
      <c r="C20" s="826">
        <f>6-6</f>
        <v>0</v>
      </c>
      <c r="D20" s="827"/>
      <c r="E20" s="821">
        <f t="shared" si="1"/>
        <v>63</v>
      </c>
      <c r="F20" s="826">
        <f>57+6</f>
        <v>63</v>
      </c>
      <c r="G20" s="828">
        <v>0</v>
      </c>
      <c r="H20" s="829">
        <f t="shared" si="2"/>
        <v>63</v>
      </c>
      <c r="I20" s="516">
        <f t="shared" si="3"/>
        <v>63</v>
      </c>
      <c r="J20" s="830">
        <f t="shared" si="4"/>
        <v>0</v>
      </c>
    </row>
    <row r="21" spans="1:10" ht="19.5" customHeight="1">
      <c r="A21" s="514" t="s">
        <v>212</v>
      </c>
      <c r="B21" s="772">
        <f t="shared" si="0"/>
        <v>60</v>
      </c>
      <c r="C21" s="826">
        <f>60</f>
        <v>60</v>
      </c>
      <c r="D21" s="827"/>
      <c r="E21" s="821">
        <f t="shared" si="1"/>
        <v>500</v>
      </c>
      <c r="F21" s="826">
        <f>480</f>
        <v>480</v>
      </c>
      <c r="G21" s="828">
        <v>20</v>
      </c>
      <c r="H21" s="829">
        <f t="shared" si="2"/>
        <v>560</v>
      </c>
      <c r="I21" s="516">
        <f t="shared" si="3"/>
        <v>540</v>
      </c>
      <c r="J21" s="830">
        <f t="shared" si="4"/>
        <v>20</v>
      </c>
    </row>
    <row r="22" spans="1:10" ht="19.5" customHeight="1">
      <c r="A22" s="514" t="s">
        <v>186</v>
      </c>
      <c r="B22" s="772">
        <f t="shared" si="0"/>
        <v>8</v>
      </c>
      <c r="C22" s="826">
        <v>8</v>
      </c>
      <c r="D22" s="827"/>
      <c r="E22" s="821">
        <f t="shared" si="1"/>
        <v>200</v>
      </c>
      <c r="F22" s="826">
        <v>120</v>
      </c>
      <c r="G22" s="828">
        <v>80</v>
      </c>
      <c r="H22" s="829">
        <f t="shared" si="2"/>
        <v>208</v>
      </c>
      <c r="I22" s="516">
        <f t="shared" si="3"/>
        <v>128</v>
      </c>
      <c r="J22" s="830">
        <f t="shared" si="4"/>
        <v>80</v>
      </c>
    </row>
    <row r="23" spans="1:10" ht="19.5" customHeight="1">
      <c r="A23" s="514" t="s">
        <v>171</v>
      </c>
      <c r="B23" s="772">
        <f t="shared" si="0"/>
        <v>0</v>
      </c>
      <c r="C23" s="826"/>
      <c r="D23" s="827"/>
      <c r="E23" s="821">
        <f t="shared" si="1"/>
        <v>82</v>
      </c>
      <c r="F23" s="826">
        <v>67</v>
      </c>
      <c r="G23" s="828">
        <v>15</v>
      </c>
      <c r="H23" s="829">
        <f t="shared" si="2"/>
        <v>82</v>
      </c>
      <c r="I23" s="516">
        <f t="shared" si="3"/>
        <v>67</v>
      </c>
      <c r="J23" s="830">
        <f t="shared" si="4"/>
        <v>15</v>
      </c>
    </row>
    <row r="24" spans="1:10" ht="19.5" customHeight="1">
      <c r="A24" s="514" t="s">
        <v>213</v>
      </c>
      <c r="B24" s="772">
        <f t="shared" si="0"/>
        <v>35</v>
      </c>
      <c r="C24" s="826">
        <v>35</v>
      </c>
      <c r="D24" s="827"/>
      <c r="E24" s="821">
        <f t="shared" si="1"/>
        <v>500</v>
      </c>
      <c r="F24" s="826">
        <v>440</v>
      </c>
      <c r="G24" s="828">
        <v>60</v>
      </c>
      <c r="H24" s="829">
        <f t="shared" si="2"/>
        <v>535</v>
      </c>
      <c r="I24" s="516">
        <f t="shared" si="3"/>
        <v>475</v>
      </c>
      <c r="J24" s="830">
        <f t="shared" si="4"/>
        <v>60</v>
      </c>
    </row>
    <row r="25" spans="1:10" ht="19.5" customHeight="1">
      <c r="A25" s="514" t="s">
        <v>214</v>
      </c>
      <c r="B25" s="772">
        <f t="shared" si="0"/>
        <v>0</v>
      </c>
      <c r="C25" s="826"/>
      <c r="D25" s="827"/>
      <c r="E25" s="821">
        <f t="shared" si="1"/>
        <v>47</v>
      </c>
      <c r="F25" s="826">
        <v>42</v>
      </c>
      <c r="G25" s="828">
        <v>5</v>
      </c>
      <c r="H25" s="829">
        <f t="shared" si="2"/>
        <v>47</v>
      </c>
      <c r="I25" s="516">
        <f t="shared" si="3"/>
        <v>42</v>
      </c>
      <c r="J25" s="830">
        <f t="shared" si="4"/>
        <v>5</v>
      </c>
    </row>
    <row r="26" spans="1:10" ht="19.5" customHeight="1">
      <c r="A26" s="514" t="s">
        <v>164</v>
      </c>
      <c r="B26" s="772">
        <f t="shared" si="0"/>
        <v>35</v>
      </c>
      <c r="C26" s="826">
        <v>35</v>
      </c>
      <c r="D26" s="827"/>
      <c r="E26" s="821">
        <f t="shared" si="1"/>
        <v>1619</v>
      </c>
      <c r="F26" s="826">
        <v>250</v>
      </c>
      <c r="G26" s="828">
        <v>1369</v>
      </c>
      <c r="H26" s="829">
        <f t="shared" si="2"/>
        <v>1654</v>
      </c>
      <c r="I26" s="516">
        <f t="shared" si="3"/>
        <v>285</v>
      </c>
      <c r="J26" s="830">
        <f t="shared" si="4"/>
        <v>1369</v>
      </c>
    </row>
    <row r="27" spans="1:10" ht="19.5" customHeight="1">
      <c r="A27" s="514" t="s">
        <v>215</v>
      </c>
      <c r="B27" s="772">
        <f t="shared" si="0"/>
        <v>0</v>
      </c>
      <c r="C27" s="826"/>
      <c r="D27" s="827"/>
      <c r="E27" s="821">
        <f t="shared" si="1"/>
        <v>600</v>
      </c>
      <c r="F27" s="826">
        <v>600</v>
      </c>
      <c r="G27" s="828">
        <v>0</v>
      </c>
      <c r="H27" s="829">
        <f t="shared" si="2"/>
        <v>600</v>
      </c>
      <c r="I27" s="516">
        <f t="shared" si="3"/>
        <v>600</v>
      </c>
      <c r="J27" s="830">
        <f t="shared" si="4"/>
        <v>0</v>
      </c>
    </row>
    <row r="28" spans="1:10" ht="19.5" customHeight="1">
      <c r="A28" s="535" t="s">
        <v>216</v>
      </c>
      <c r="B28" s="772">
        <f t="shared" si="0"/>
        <v>0</v>
      </c>
      <c r="C28" s="826"/>
      <c r="D28" s="827"/>
      <c r="E28" s="821">
        <f t="shared" si="1"/>
        <v>500</v>
      </c>
      <c r="F28" s="826">
        <v>500</v>
      </c>
      <c r="G28" s="828">
        <v>0</v>
      </c>
      <c r="H28" s="832">
        <f t="shared" si="2"/>
        <v>500</v>
      </c>
      <c r="I28" s="516">
        <f t="shared" si="3"/>
        <v>500</v>
      </c>
      <c r="J28" s="830">
        <f t="shared" si="4"/>
        <v>0</v>
      </c>
    </row>
    <row r="29" spans="1:10" ht="19.5" customHeight="1" thickBot="1">
      <c r="A29" s="535" t="s">
        <v>165</v>
      </c>
      <c r="B29" s="772">
        <f t="shared" si="0"/>
        <v>28</v>
      </c>
      <c r="C29" s="826">
        <v>28</v>
      </c>
      <c r="D29" s="827"/>
      <c r="E29" s="821">
        <f t="shared" si="1"/>
        <v>600</v>
      </c>
      <c r="F29" s="826">
        <v>400</v>
      </c>
      <c r="G29" s="828">
        <v>200</v>
      </c>
      <c r="H29" s="832">
        <f>I29+J29</f>
        <v>628</v>
      </c>
      <c r="I29" s="516">
        <f t="shared" si="3"/>
        <v>428</v>
      </c>
      <c r="J29" s="830">
        <f t="shared" si="4"/>
        <v>200</v>
      </c>
    </row>
    <row r="30" spans="1:10" ht="19.5" customHeight="1" hidden="1" thickBot="1">
      <c r="A30" s="535" t="s">
        <v>217</v>
      </c>
      <c r="B30" s="833"/>
      <c r="C30" s="834"/>
      <c r="D30" s="835"/>
      <c r="E30" s="836">
        <f t="shared" si="1"/>
        <v>0</v>
      </c>
      <c r="F30" s="834"/>
      <c r="G30" s="837"/>
      <c r="H30" s="838"/>
      <c r="I30" s="839"/>
      <c r="J30" s="840"/>
    </row>
    <row r="31" spans="1:10" ht="30" customHeight="1" thickBot="1">
      <c r="A31" s="556" t="s">
        <v>176</v>
      </c>
      <c r="B31" s="841">
        <f>SUM(B9:B30)</f>
        <v>259</v>
      </c>
      <c r="C31" s="850">
        <f>SUM(C9:C30)</f>
        <v>253</v>
      </c>
      <c r="D31" s="851">
        <f>SUM(D9:D30)</f>
        <v>6</v>
      </c>
      <c r="E31" s="841">
        <f t="shared" si="1"/>
        <v>6816</v>
      </c>
      <c r="F31" s="850">
        <f>SUM(F9:F30)</f>
        <v>4627</v>
      </c>
      <c r="G31" s="851">
        <f>SUM(G9:G30)</f>
        <v>2189</v>
      </c>
      <c r="H31" s="843">
        <f>SUM(H9:H30)</f>
        <v>7075</v>
      </c>
      <c r="I31" s="558">
        <f>SUM(I9:I30)</f>
        <v>4880</v>
      </c>
      <c r="J31" s="844">
        <f>SUM(J9:J30)</f>
        <v>2195</v>
      </c>
    </row>
    <row r="32" spans="1:10" ht="27" customHeight="1" thickBot="1">
      <c r="A32" s="575" t="s">
        <v>187</v>
      </c>
      <c r="B32" s="842"/>
      <c r="C32" s="842"/>
      <c r="D32" s="842"/>
      <c r="E32" s="842"/>
      <c r="F32" s="842"/>
      <c r="G32" s="845"/>
      <c r="H32" s="843">
        <v>421</v>
      </c>
      <c r="I32" s="558"/>
      <c r="J32" s="844"/>
    </row>
    <row r="33" spans="1:10" ht="27" customHeight="1" thickBot="1">
      <c r="A33" s="579" t="s">
        <v>178</v>
      </c>
      <c r="B33" s="846"/>
      <c r="C33" s="846"/>
      <c r="D33" s="846"/>
      <c r="E33" s="846"/>
      <c r="F33" s="846"/>
      <c r="G33" s="847"/>
      <c r="H33" s="848">
        <f>H31+H32</f>
        <v>7496</v>
      </c>
      <c r="I33" s="580"/>
      <c r="J33" s="849"/>
    </row>
    <row r="34" spans="1:10" ht="15.75">
      <c r="A34" s="1148"/>
      <c r="B34" s="1148"/>
      <c r="C34" s="584"/>
      <c r="D34" s="585"/>
      <c r="E34" s="585"/>
      <c r="F34" s="585"/>
      <c r="G34" s="585"/>
      <c r="H34" s="463"/>
      <c r="I34" s="586"/>
      <c r="J34" s="463"/>
    </row>
    <row r="35" spans="1:10" ht="15.75">
      <c r="A35" s="1143"/>
      <c r="B35" s="1143"/>
      <c r="C35" s="1143"/>
      <c r="D35" s="587"/>
      <c r="E35" s="587"/>
      <c r="F35" s="588"/>
      <c r="G35" s="589"/>
      <c r="H35" s="590"/>
      <c r="I35" s="591"/>
      <c r="J35" s="463"/>
    </row>
    <row r="36" spans="1:10" ht="15.75">
      <c r="A36" s="592"/>
      <c r="B36" s="468"/>
      <c r="C36" s="468"/>
      <c r="D36" s="468"/>
      <c r="E36" s="468"/>
      <c r="F36" s="588"/>
      <c r="G36" s="413"/>
      <c r="H36" s="593"/>
      <c r="I36" s="591"/>
      <c r="J36" s="413"/>
    </row>
    <row r="37" spans="2:8" ht="15.75">
      <c r="B37" s="468"/>
      <c r="C37" s="468"/>
      <c r="D37" s="468"/>
      <c r="E37" s="468"/>
      <c r="F37" s="588"/>
      <c r="G37" s="594"/>
      <c r="H37" s="594"/>
    </row>
    <row r="38" spans="2:8" ht="15.75">
      <c r="B38" s="468"/>
      <c r="C38" s="468"/>
      <c r="D38" s="468"/>
      <c r="E38" s="468"/>
      <c r="F38" s="468"/>
      <c r="G38" s="468"/>
      <c r="H38" s="413"/>
    </row>
    <row r="39" spans="2:8" ht="15.75">
      <c r="B39" s="468"/>
      <c r="C39" s="468"/>
      <c r="D39" s="468"/>
      <c r="E39" s="468"/>
      <c r="F39" s="468"/>
      <c r="G39" s="468"/>
      <c r="H39" s="594"/>
    </row>
    <row r="40" spans="2:9" ht="15.75">
      <c r="B40" s="468"/>
      <c r="C40" s="468"/>
      <c r="D40" s="468"/>
      <c r="E40" s="468"/>
      <c r="F40" s="468"/>
      <c r="G40" s="468"/>
      <c r="I40" s="595"/>
    </row>
    <row r="41" spans="2:9" ht="15.75">
      <c r="B41" s="468"/>
      <c r="C41" s="468"/>
      <c r="D41" s="468"/>
      <c r="E41" s="468"/>
      <c r="F41" s="468"/>
      <c r="G41" s="468"/>
      <c r="I41" s="595"/>
    </row>
    <row r="42" spans="2:7" ht="15.75">
      <c r="B42" s="472"/>
      <c r="C42" s="472"/>
      <c r="D42" s="472"/>
      <c r="E42" s="472"/>
      <c r="F42" s="472"/>
      <c r="G42" s="472"/>
    </row>
    <row r="45" ht="15.75">
      <c r="K45" s="596"/>
    </row>
    <row r="46" ht="15.75">
      <c r="K46" s="596"/>
    </row>
    <row r="58" ht="15" customHeight="1" hidden="1"/>
    <row r="59" ht="15.75" customHeight="1" hidden="1" thickBot="1"/>
    <row r="60" ht="15" customHeight="1" hidden="1"/>
    <row r="61" ht="65.25" customHeight="1" hidden="1"/>
    <row r="62" ht="15" customHeight="1" hidden="1" thickBot="1"/>
    <row r="63" ht="15.75" customHeight="1" hidden="1" thickBot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.75" customHeight="1" hidden="1" thickBot="1"/>
    <row r="86" ht="15.75" customHeight="1" hidden="1" thickBot="1"/>
    <row r="87" ht="15" customHeight="1" hidden="1"/>
    <row r="88" ht="15" customHeight="1" hidden="1"/>
    <row r="89" ht="15" customHeight="1" hidden="1"/>
    <row r="90" ht="15.75" customHeight="1" hidden="1" thickBot="1"/>
    <row r="91" ht="15" customHeight="1" hidden="1"/>
    <row r="92" ht="65.25" customHeight="1" hidden="1"/>
    <row r="93" ht="15" customHeight="1" hidden="1" thickBot="1"/>
    <row r="94" ht="15.75" customHeight="1" hidden="1" thickBot="1"/>
    <row r="95" ht="15.75" customHeight="1" hidden="1" thickBot="1"/>
    <row r="96" ht="15.75" customHeight="1" hidden="1" thickBot="1"/>
    <row r="97" ht="15" customHeight="1" hidden="1"/>
    <row r="98" ht="15" customHeight="1" hidden="1"/>
    <row r="99" ht="15" customHeight="1" hidden="1"/>
    <row r="100" ht="15.75" customHeight="1" hidden="1" thickBot="1"/>
    <row r="101" ht="15" customHeight="1" hidden="1"/>
    <row r="102" ht="65.25" customHeight="1" hidden="1"/>
    <row r="103" ht="15" customHeight="1" hidden="1" thickBot="1"/>
    <row r="104" ht="15.75" customHeight="1" hidden="1" thickBot="1"/>
    <row r="105" ht="15.75" customHeight="1" hidden="1" thickBot="1"/>
    <row r="106" ht="15.75" customHeight="1" hidden="1" thickBot="1"/>
    <row r="107" ht="15" customHeight="1" hidden="1"/>
    <row r="108" ht="15" customHeight="1" hidden="1"/>
    <row r="109" ht="15" customHeight="1" hidden="1"/>
    <row r="110" ht="15.75" customHeight="1" hidden="1" thickBot="1"/>
    <row r="111" ht="15" customHeight="1" hidden="1"/>
    <row r="112" ht="65.25" customHeight="1" hidden="1"/>
    <row r="113" ht="15" customHeight="1" hidden="1" thickBot="1"/>
    <row r="114" ht="15.75" customHeight="1" hidden="1" thickBot="1"/>
    <row r="115" ht="15.75" customHeight="1" hidden="1" thickBot="1"/>
    <row r="116" ht="15.75" customHeight="1" hidden="1" thickBot="1"/>
    <row r="117" ht="15" customHeight="1" hidden="1"/>
    <row r="118" ht="15" customHeight="1" hidden="1"/>
    <row r="119" ht="15.75" customHeight="1" hidden="1" thickBot="1"/>
    <row r="120" ht="15" customHeight="1" hidden="1"/>
    <row r="121" ht="65.25" customHeight="1" hidden="1"/>
    <row r="122" ht="15" customHeight="1" hidden="1" thickBot="1"/>
    <row r="123" ht="15.75" customHeight="1" hidden="1" thickBot="1"/>
    <row r="124" ht="15" customHeight="1" hidden="1"/>
    <row r="125" ht="15" customHeight="1" hidden="1"/>
    <row r="126" ht="15" customHeight="1" hidden="1"/>
    <row r="127" ht="15" customHeight="1" hidden="1"/>
    <row r="128" ht="15.75" customHeight="1" hidden="1" thickBot="1"/>
    <row r="129" ht="15.75" customHeight="1" hidden="1" thickBot="1"/>
    <row r="130" ht="15" customHeight="1" hidden="1"/>
    <row r="131" ht="15" customHeight="1" hidden="1"/>
    <row r="132" ht="15.75" customHeight="1" hidden="1" thickBot="1"/>
    <row r="133" ht="15" customHeight="1" hidden="1"/>
    <row r="134" ht="65.25" customHeight="1" hidden="1"/>
    <row r="135" ht="15" customHeight="1" hidden="1" thickBot="1"/>
    <row r="136" ht="15.75" customHeight="1" hidden="1" thickBot="1"/>
    <row r="137" ht="15.75" customHeight="1" hidden="1" thickBot="1"/>
    <row r="138" ht="15.75" customHeight="1" hidden="1" thickBot="1"/>
    <row r="139" ht="15" customHeight="1" hidden="1"/>
    <row r="140" ht="15" customHeight="1" hidden="1"/>
    <row r="141" ht="15.75" customHeight="1" hidden="1" thickBot="1"/>
    <row r="142" ht="15" customHeight="1" hidden="1"/>
    <row r="143" ht="65.25" customHeight="1" hidden="1"/>
    <row r="144" ht="15" customHeight="1" hidden="1" thickBot="1"/>
    <row r="145" ht="15.75" customHeight="1" hidden="1" thickBot="1"/>
    <row r="146" ht="15" customHeight="1" hidden="1"/>
    <row r="147" ht="15.75" customHeight="1" hidden="1" thickBot="1"/>
    <row r="148" ht="15.75" customHeight="1" hidden="1" thickBot="1"/>
    <row r="149" ht="15" customHeight="1" hidden="1"/>
  </sheetData>
  <sheetProtection/>
  <mergeCells count="15">
    <mergeCell ref="H4:J5"/>
    <mergeCell ref="B5:D5"/>
    <mergeCell ref="E5:G5"/>
    <mergeCell ref="G1:J1"/>
    <mergeCell ref="A3:I3"/>
    <mergeCell ref="A35:C35"/>
    <mergeCell ref="F6:G6"/>
    <mergeCell ref="H6:H7"/>
    <mergeCell ref="I6:J6"/>
    <mergeCell ref="A34:B34"/>
    <mergeCell ref="B6:B7"/>
    <mergeCell ref="C6:D6"/>
    <mergeCell ref="E6:E7"/>
    <mergeCell ref="A4:A7"/>
    <mergeCell ref="B4:G4"/>
  </mergeCells>
  <printOptions/>
  <pageMargins left="0.2" right="0.17" top="0.34" bottom="0.16" header="0.31496062992125984" footer="0.31496062992125984"/>
  <pageSetup fitToHeight="0" horizontalDpi="600" verticalDpi="600" orientation="landscape" paperSize="9" scale="68" r:id="rId1"/>
  <rowBreaks count="1" manualBreakCount="1">
    <brk id="33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42"/>
  <sheetViews>
    <sheetView view="pageBreakPreview" zoomScale="70" zoomScaleSheetLayoutView="70" zoomScalePageLayoutView="0" workbookViewId="0" topLeftCell="A13">
      <selection activeCell="G7" sqref="G7"/>
    </sheetView>
  </sheetViews>
  <sheetFormatPr defaultColWidth="9.140625" defaultRowHeight="15"/>
  <cols>
    <col min="1" max="1" width="63.00390625" style="0" customWidth="1"/>
    <col min="2" max="2" width="15.57421875" style="0" customWidth="1"/>
    <col min="3" max="3" width="15.00390625" style="0" customWidth="1"/>
    <col min="4" max="4" width="14.8515625" style="0" customWidth="1"/>
    <col min="5" max="5" width="16.7109375" style="0" customWidth="1"/>
    <col min="6" max="6" width="15.7109375" style="0" customWidth="1"/>
    <col min="7" max="7" width="15.140625" style="0" customWidth="1"/>
    <col min="8" max="8" width="14.57421875" style="649" hidden="1" customWidth="1"/>
    <col min="9" max="9" width="16.7109375" style="649" customWidth="1"/>
    <col min="10" max="10" width="15.421875" style="650" customWidth="1"/>
    <col min="11" max="11" width="16.140625" style="650" customWidth="1"/>
    <col min="12" max="12" width="8.140625" style="426" hidden="1" customWidth="1"/>
    <col min="13" max="13" width="7.7109375" style="426" hidden="1" customWidth="1"/>
    <col min="14" max="14" width="7.57421875" style="426" hidden="1" customWidth="1"/>
    <col min="15" max="15" width="7.7109375" style="426" hidden="1" customWidth="1"/>
    <col min="16" max="16" width="8.00390625" style="427" hidden="1" customWidth="1"/>
    <col min="17" max="17" width="8.28125" style="427" hidden="1" customWidth="1"/>
    <col min="18" max="18" width="10.28125" style="427" hidden="1" customWidth="1"/>
    <col min="19" max="19" width="11.8515625" style="427" hidden="1" customWidth="1"/>
    <col min="20" max="20" width="11.00390625" style="427" hidden="1" customWidth="1"/>
    <col min="21" max="16384" width="9.140625" style="20" customWidth="1"/>
  </cols>
  <sheetData>
    <row r="1" spans="8:11" ht="70.5" customHeight="1">
      <c r="H1" s="1164" t="s">
        <v>196</v>
      </c>
      <c r="I1" s="1164"/>
      <c r="J1" s="1164"/>
      <c r="K1" s="1164"/>
    </row>
    <row r="2" spans="8:20" ht="15.75">
      <c r="H2" s="415"/>
      <c r="I2" s="415"/>
      <c r="J2" s="415"/>
      <c r="K2" s="415"/>
      <c r="L2" s="430"/>
      <c r="M2" s="430"/>
      <c r="N2" s="430"/>
      <c r="O2" s="430"/>
      <c r="P2" s="465"/>
      <c r="Q2" s="465"/>
      <c r="R2" s="465"/>
      <c r="S2" s="465"/>
      <c r="T2" s="465"/>
    </row>
    <row r="3" spans="1:20" ht="30" customHeight="1" thickBot="1">
      <c r="A3" s="1177" t="s">
        <v>238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667"/>
      <c r="M3" s="667"/>
      <c r="N3" s="667"/>
      <c r="O3" s="667"/>
      <c r="P3" s="667"/>
      <c r="Q3" s="667"/>
      <c r="R3" s="667"/>
      <c r="S3" s="667"/>
      <c r="T3" s="667"/>
    </row>
    <row r="4" spans="12:20" ht="9.75" customHeight="1" thickBot="1">
      <c r="L4" s="476"/>
      <c r="M4" s="476"/>
      <c r="N4" s="476"/>
      <c r="O4" s="476"/>
      <c r="P4" s="476"/>
      <c r="Q4" s="476"/>
      <c r="R4" s="476"/>
      <c r="S4" s="476"/>
      <c r="T4" s="476"/>
    </row>
    <row r="5" spans="1:20" ht="96.75" customHeight="1" thickBot="1">
      <c r="A5" s="1183" t="s">
        <v>190</v>
      </c>
      <c r="B5" s="968" t="s">
        <v>239</v>
      </c>
      <c r="C5" s="968"/>
      <c r="D5" s="969"/>
      <c r="E5" s="1166" t="s">
        <v>194</v>
      </c>
      <c r="F5" s="968"/>
      <c r="G5" s="1025"/>
      <c r="H5" s="1167" t="s">
        <v>133</v>
      </c>
      <c r="I5" s="1166" t="s">
        <v>237</v>
      </c>
      <c r="J5" s="968"/>
      <c r="K5" s="1025"/>
      <c r="L5" s="1178" t="s">
        <v>200</v>
      </c>
      <c r="M5" s="1179"/>
      <c r="N5" s="1180"/>
      <c r="O5" s="1181" t="s">
        <v>201</v>
      </c>
      <c r="P5" s="1179"/>
      <c r="Q5" s="1182"/>
      <c r="R5" s="1079" t="s">
        <v>202</v>
      </c>
      <c r="S5" s="1080"/>
      <c r="T5" s="1163"/>
    </row>
    <row r="6" spans="1:20" ht="27" customHeight="1">
      <c r="A6" s="1184"/>
      <c r="B6" s="1170" t="s">
        <v>150</v>
      </c>
      <c r="C6" s="1170" t="s">
        <v>183</v>
      </c>
      <c r="D6" s="979"/>
      <c r="E6" s="1176" t="s">
        <v>150</v>
      </c>
      <c r="F6" s="1170" t="s">
        <v>183</v>
      </c>
      <c r="G6" s="977"/>
      <c r="H6" s="1168"/>
      <c r="I6" s="1176" t="s">
        <v>150</v>
      </c>
      <c r="J6" s="1191" t="s">
        <v>183</v>
      </c>
      <c r="K6" s="1192"/>
      <c r="L6" s="1172" t="s">
        <v>150</v>
      </c>
      <c r="M6" s="1174" t="s">
        <v>183</v>
      </c>
      <c r="N6" s="1188"/>
      <c r="O6" s="1172" t="s">
        <v>150</v>
      </c>
      <c r="P6" s="1174" t="s">
        <v>183</v>
      </c>
      <c r="Q6" s="1175"/>
      <c r="R6" s="1189" t="s">
        <v>150</v>
      </c>
      <c r="S6" s="1186" t="s">
        <v>183</v>
      </c>
      <c r="T6" s="1187"/>
    </row>
    <row r="7" spans="1:20" ht="29.25" customHeight="1" thickBot="1">
      <c r="A7" s="1185"/>
      <c r="B7" s="1171"/>
      <c r="C7" s="431" t="s">
        <v>203</v>
      </c>
      <c r="D7" s="855" t="s">
        <v>153</v>
      </c>
      <c r="E7" s="1131"/>
      <c r="F7" s="431" t="s">
        <v>203</v>
      </c>
      <c r="G7" s="432" t="s">
        <v>153</v>
      </c>
      <c r="H7" s="1169"/>
      <c r="I7" s="1131"/>
      <c r="J7" s="856" t="s">
        <v>203</v>
      </c>
      <c r="K7" s="857" t="s">
        <v>153</v>
      </c>
      <c r="L7" s="1173"/>
      <c r="M7" s="478" t="s">
        <v>203</v>
      </c>
      <c r="N7" s="481" t="s">
        <v>153</v>
      </c>
      <c r="O7" s="1173"/>
      <c r="P7" s="478" t="s">
        <v>203</v>
      </c>
      <c r="Q7" s="480" t="s">
        <v>153</v>
      </c>
      <c r="R7" s="1190"/>
      <c r="S7" s="484" t="s">
        <v>152</v>
      </c>
      <c r="T7" s="485" t="s">
        <v>153</v>
      </c>
    </row>
    <row r="8" spans="1:20" ht="29.25" customHeight="1" thickBot="1">
      <c r="A8" s="909" t="s">
        <v>156</v>
      </c>
      <c r="B8" s="859">
        <v>1</v>
      </c>
      <c r="C8" s="859">
        <v>2</v>
      </c>
      <c r="D8" s="860">
        <v>3</v>
      </c>
      <c r="E8" s="858">
        <v>4</v>
      </c>
      <c r="F8" s="859">
        <v>5</v>
      </c>
      <c r="G8" s="861">
        <v>6</v>
      </c>
      <c r="H8" s="890">
        <v>7</v>
      </c>
      <c r="I8" s="858">
        <v>8</v>
      </c>
      <c r="J8" s="859">
        <v>9</v>
      </c>
      <c r="K8" s="861">
        <v>10</v>
      </c>
      <c r="L8" s="496"/>
      <c r="M8" s="494"/>
      <c r="N8" s="497"/>
      <c r="O8" s="493"/>
      <c r="P8" s="439"/>
      <c r="Q8" s="440"/>
      <c r="R8" s="438"/>
      <c r="S8" s="439"/>
      <c r="T8" s="444"/>
    </row>
    <row r="9" spans="1:20" ht="19.5" customHeight="1">
      <c r="A9" s="445" t="s">
        <v>205</v>
      </c>
      <c r="B9" s="863">
        <f>C9+D9</f>
        <v>324</v>
      </c>
      <c r="C9" s="862">
        <f>H9*'[1]случаи'!AZ9</f>
        <v>324</v>
      </c>
      <c r="D9" s="865"/>
      <c r="E9" s="897">
        <f>F9+G9</f>
        <v>4536</v>
      </c>
      <c r="F9" s="864">
        <f>ROUND('[1]случаи'!BC9*'[1]койко-дни'!AL9,1)</f>
        <v>4536</v>
      </c>
      <c r="G9" s="898"/>
      <c r="H9" s="891">
        <v>10.8</v>
      </c>
      <c r="I9" s="866">
        <f>J9+K9</f>
        <v>4860</v>
      </c>
      <c r="J9" s="503">
        <f>ROUND('[1]случаи'!BF9*'[1]койко-дни'!AL9,1)</f>
        <v>4860</v>
      </c>
      <c r="K9" s="867">
        <f>ROUND('[1]случаи'!BG9*'[1]койко-дни'!AL9,1)</f>
        <v>0</v>
      </c>
      <c r="L9" s="510">
        <f aca="true" t="shared" si="0" ref="L9:L29">M9+N9</f>
        <v>346</v>
      </c>
      <c r="M9" s="508">
        <v>346</v>
      </c>
      <c r="N9" s="511"/>
      <c r="O9" s="512">
        <f aca="true" t="shared" si="1" ref="O9:O29">P9+Q9</f>
        <v>461.3333333333333</v>
      </c>
      <c r="P9" s="446">
        <f aca="true" t="shared" si="2" ref="P9:P29">M9/9*12</f>
        <v>461.3333333333333</v>
      </c>
      <c r="Q9" s="447">
        <f aca="true" t="shared" si="3" ref="Q9:Q29">N9/9*12</f>
        <v>0</v>
      </c>
      <c r="R9" s="513"/>
      <c r="S9" s="447"/>
      <c r="T9" s="501"/>
    </row>
    <row r="10" spans="1:20" ht="19.5" customHeight="1">
      <c r="A10" s="448" t="s">
        <v>162</v>
      </c>
      <c r="B10" s="863">
        <f aca="true" t="shared" si="4" ref="B10:B29">C10+D10</f>
        <v>0</v>
      </c>
      <c r="C10" s="862"/>
      <c r="D10" s="865"/>
      <c r="E10" s="897">
        <f aca="true" t="shared" si="5" ref="E10:E29">F10+G10</f>
        <v>756</v>
      </c>
      <c r="F10" s="864">
        <f>ROUND('[1]случаи'!BC10*'[1]койко-дни'!AL10,1)</f>
        <v>756</v>
      </c>
      <c r="G10" s="899"/>
      <c r="H10" s="892">
        <v>10.8</v>
      </c>
      <c r="I10" s="868">
        <f aca="true" t="shared" si="6" ref="I10:I31">J10+K10</f>
        <v>756</v>
      </c>
      <c r="J10" s="869">
        <f>ROUND('[1]случаи'!BF10*'[1]койко-дни'!AL10,1)</f>
        <v>756</v>
      </c>
      <c r="K10" s="870">
        <f>ROUND('[1]случаи'!BG10*'[1]койко-дни'!AL10,1)</f>
        <v>0</v>
      </c>
      <c r="L10" s="525">
        <f t="shared" si="0"/>
        <v>43</v>
      </c>
      <c r="M10" s="523">
        <v>43</v>
      </c>
      <c r="N10" s="526"/>
      <c r="O10" s="527">
        <f t="shared" si="1"/>
        <v>57.33333333333333</v>
      </c>
      <c r="P10" s="449">
        <f t="shared" si="2"/>
        <v>57.33333333333333</v>
      </c>
      <c r="Q10" s="450">
        <f t="shared" si="3"/>
        <v>0</v>
      </c>
      <c r="R10" s="528"/>
      <c r="S10" s="450"/>
      <c r="T10" s="451"/>
    </row>
    <row r="11" spans="1:20" ht="19.5" customHeight="1">
      <c r="A11" s="448" t="s">
        <v>160</v>
      </c>
      <c r="B11" s="863">
        <f t="shared" si="4"/>
        <v>0</v>
      </c>
      <c r="C11" s="862"/>
      <c r="D11" s="865"/>
      <c r="E11" s="897">
        <f t="shared" si="5"/>
        <v>348</v>
      </c>
      <c r="F11" s="864">
        <f>ROUND('[1]случаи'!BC11*'[1]койко-дни'!AL11,1)</f>
        <v>348</v>
      </c>
      <c r="G11" s="899"/>
      <c r="H11" s="892">
        <v>11.6</v>
      </c>
      <c r="I11" s="868">
        <f t="shared" si="6"/>
        <v>348</v>
      </c>
      <c r="J11" s="519">
        <f>ROUND('[1]случаи'!BF11*'[1]койко-дни'!AL11,1)</f>
        <v>348</v>
      </c>
      <c r="K11" s="870">
        <f>ROUND('[1]случаи'!BG11*'[1]койко-дни'!AL11,1)</f>
        <v>0</v>
      </c>
      <c r="L11" s="525">
        <f t="shared" si="0"/>
        <v>0</v>
      </c>
      <c r="M11" s="523">
        <v>0</v>
      </c>
      <c r="N11" s="526"/>
      <c r="O11" s="527">
        <f t="shared" si="1"/>
        <v>0</v>
      </c>
      <c r="P11" s="449">
        <f t="shared" si="2"/>
        <v>0</v>
      </c>
      <c r="Q11" s="450">
        <f t="shared" si="3"/>
        <v>0</v>
      </c>
      <c r="R11" s="528"/>
      <c r="S11" s="450"/>
      <c r="T11" s="451"/>
    </row>
    <row r="12" spans="1:20" ht="19.5" customHeight="1">
      <c r="A12" s="448" t="s">
        <v>161</v>
      </c>
      <c r="B12" s="863">
        <f t="shared" si="4"/>
        <v>60.599999999999994</v>
      </c>
      <c r="C12" s="862">
        <f>H12*'[1]случаи'!AZ12</f>
        <v>60.599999999999994</v>
      </c>
      <c r="D12" s="865"/>
      <c r="E12" s="897">
        <f t="shared" si="5"/>
        <v>505</v>
      </c>
      <c r="F12" s="864">
        <f>ROUND('[1]случаи'!BC12*'[1]койко-дни'!AL12,1)</f>
        <v>505</v>
      </c>
      <c r="G12" s="900"/>
      <c r="H12" s="892">
        <v>10.1</v>
      </c>
      <c r="I12" s="868">
        <f t="shared" si="6"/>
        <v>565.6</v>
      </c>
      <c r="J12" s="519">
        <f>ROUND('[1]случаи'!BF12*'[1]койко-дни'!AL12,1)</f>
        <v>565.6</v>
      </c>
      <c r="K12" s="870">
        <f>ROUND('[1]случаи'!BG12*'[1]койко-дни'!AL12,1)</f>
        <v>0</v>
      </c>
      <c r="L12" s="525">
        <f t="shared" si="0"/>
        <v>37</v>
      </c>
      <c r="M12" s="523">
        <v>37</v>
      </c>
      <c r="N12" s="526"/>
      <c r="O12" s="527">
        <f t="shared" si="1"/>
        <v>49.33333333333333</v>
      </c>
      <c r="P12" s="449">
        <f t="shared" si="2"/>
        <v>49.33333333333333</v>
      </c>
      <c r="Q12" s="450">
        <f t="shared" si="3"/>
        <v>0</v>
      </c>
      <c r="R12" s="528"/>
      <c r="S12" s="450"/>
      <c r="T12" s="451"/>
    </row>
    <row r="13" spans="1:20" ht="19.5" customHeight="1">
      <c r="A13" s="448" t="s">
        <v>158</v>
      </c>
      <c r="B13" s="863">
        <f t="shared" si="4"/>
        <v>51.599999999999994</v>
      </c>
      <c r="C13" s="862"/>
      <c r="D13" s="865">
        <f>H13*'[1]случаи'!BA13</f>
        <v>51.599999999999994</v>
      </c>
      <c r="E13" s="897">
        <f t="shared" si="5"/>
        <v>2580</v>
      </c>
      <c r="F13" s="864">
        <f>ROUND('[1]случаи'!BF13*'[1]койко-дни'!AL13,1)</f>
        <v>0</v>
      </c>
      <c r="G13" s="900">
        <f>ROUND(H13*'[1]случаи'!BD13,1)</f>
        <v>2580</v>
      </c>
      <c r="H13" s="892">
        <v>8.6</v>
      </c>
      <c r="I13" s="868">
        <f t="shared" si="6"/>
        <v>2631.6</v>
      </c>
      <c r="J13" s="519">
        <f>ROUND('[1]случаи'!BF13*'[1]койко-дни'!AL13,1)</f>
        <v>0</v>
      </c>
      <c r="K13" s="870">
        <f>ROUND('[1]случаи'!BG13*'[1]койко-дни'!AL13,1)</f>
        <v>2631.6</v>
      </c>
      <c r="L13" s="525">
        <f t="shared" si="0"/>
        <v>178</v>
      </c>
      <c r="M13" s="523"/>
      <c r="N13" s="526">
        <v>178</v>
      </c>
      <c r="O13" s="527">
        <f t="shared" si="1"/>
        <v>237.33333333333334</v>
      </c>
      <c r="P13" s="449">
        <f t="shared" si="2"/>
        <v>0</v>
      </c>
      <c r="Q13" s="450">
        <f t="shared" si="3"/>
        <v>237.33333333333334</v>
      </c>
      <c r="R13" s="528"/>
      <c r="S13" s="450"/>
      <c r="T13" s="451"/>
    </row>
    <row r="14" spans="1:20" ht="19.5" customHeight="1">
      <c r="A14" s="448" t="s">
        <v>159</v>
      </c>
      <c r="B14" s="863">
        <f t="shared" si="4"/>
        <v>141.4</v>
      </c>
      <c r="C14" s="862">
        <f>H14*'[1]случаи'!AZ14</f>
        <v>141.4</v>
      </c>
      <c r="D14" s="865"/>
      <c r="E14" s="897">
        <f t="shared" si="5"/>
        <v>4545</v>
      </c>
      <c r="F14" s="864">
        <f>ROUND('[1]случаи'!BC14*'[1]койко-дни'!AL14,1)</f>
        <v>4545</v>
      </c>
      <c r="G14" s="900">
        <f>ROUND(H14*'[1]случаи'!BG14,1)</f>
        <v>0</v>
      </c>
      <c r="H14" s="892">
        <v>10.1</v>
      </c>
      <c r="I14" s="868">
        <f t="shared" si="6"/>
        <v>4686.4</v>
      </c>
      <c r="J14" s="519">
        <f>ROUND('[1]случаи'!BF14*'[1]койко-дни'!AL14,1)</f>
        <v>4686.4</v>
      </c>
      <c r="K14" s="870">
        <f>ROUND('[1]случаи'!BG14*'[1]койко-дни'!AL14,1)</f>
        <v>0</v>
      </c>
      <c r="L14" s="525">
        <f t="shared" si="0"/>
        <v>309</v>
      </c>
      <c r="M14" s="523">
        <v>309</v>
      </c>
      <c r="N14" s="526"/>
      <c r="O14" s="527">
        <f t="shared" si="1"/>
        <v>412</v>
      </c>
      <c r="P14" s="449">
        <f t="shared" si="2"/>
        <v>412</v>
      </c>
      <c r="Q14" s="450">
        <f t="shared" si="3"/>
        <v>0</v>
      </c>
      <c r="R14" s="528"/>
      <c r="S14" s="450"/>
      <c r="T14" s="451"/>
    </row>
    <row r="15" spans="1:20" ht="19.5" customHeight="1">
      <c r="A15" s="448" t="s">
        <v>206</v>
      </c>
      <c r="B15" s="863">
        <f t="shared" si="4"/>
        <v>0</v>
      </c>
      <c r="C15" s="862"/>
      <c r="D15" s="865"/>
      <c r="E15" s="897">
        <f t="shared" si="5"/>
        <v>968</v>
      </c>
      <c r="F15" s="864">
        <f>ROUND('[1]случаи'!BF15*'[1]койко-дни'!AL15,1)</f>
        <v>0</v>
      </c>
      <c r="G15" s="900">
        <f>ROUND(H15*'[1]случаи'!BD15,1)</f>
        <v>968</v>
      </c>
      <c r="H15" s="892">
        <v>12.1</v>
      </c>
      <c r="I15" s="868">
        <f t="shared" si="6"/>
        <v>968</v>
      </c>
      <c r="J15" s="519">
        <f>ROUND('[1]случаи'!BF15*'[1]койко-дни'!AL15,1)</f>
        <v>0</v>
      </c>
      <c r="K15" s="870">
        <f>ROUND('[1]случаи'!BG15*'[1]койко-дни'!AL15,1)</f>
        <v>968</v>
      </c>
      <c r="L15" s="525">
        <f t="shared" si="0"/>
        <v>57</v>
      </c>
      <c r="M15" s="523"/>
      <c r="N15" s="526">
        <v>57</v>
      </c>
      <c r="O15" s="527">
        <f t="shared" si="1"/>
        <v>76</v>
      </c>
      <c r="P15" s="449">
        <f t="shared" si="2"/>
        <v>0</v>
      </c>
      <c r="Q15" s="450">
        <f t="shared" si="3"/>
        <v>76</v>
      </c>
      <c r="R15" s="528"/>
      <c r="S15" s="450"/>
      <c r="T15" s="451"/>
    </row>
    <row r="16" spans="1:20" ht="19.5" customHeight="1">
      <c r="A16" s="448" t="s">
        <v>134</v>
      </c>
      <c r="B16" s="863">
        <f t="shared" si="4"/>
        <v>88</v>
      </c>
      <c r="C16" s="862">
        <f>H16*'[1]случаи'!AZ16</f>
        <v>88</v>
      </c>
      <c r="D16" s="865"/>
      <c r="E16" s="897">
        <f t="shared" si="5"/>
        <v>3300</v>
      </c>
      <c r="F16" s="864">
        <f>ROUND('[1]случаи'!BC16*'[1]койко-дни'!AL16,1)</f>
        <v>3300</v>
      </c>
      <c r="G16" s="900">
        <f>ROUND(H16*'[1]случаи'!BD16,1)</f>
        <v>0</v>
      </c>
      <c r="H16" s="892">
        <v>11</v>
      </c>
      <c r="I16" s="868">
        <f t="shared" si="6"/>
        <v>3388</v>
      </c>
      <c r="J16" s="519">
        <f>ROUND('[1]случаи'!BF16*'[1]койко-дни'!AL16,1)</f>
        <v>3388</v>
      </c>
      <c r="K16" s="870">
        <f>ROUND('[1]случаи'!BG16*'[1]койко-дни'!AL16,1)</f>
        <v>0</v>
      </c>
      <c r="L16" s="525">
        <f t="shared" si="0"/>
        <v>185</v>
      </c>
      <c r="M16" s="523">
        <v>185</v>
      </c>
      <c r="N16" s="526"/>
      <c r="O16" s="527">
        <f t="shared" si="1"/>
        <v>246.66666666666669</v>
      </c>
      <c r="P16" s="449">
        <f t="shared" si="2"/>
        <v>246.66666666666669</v>
      </c>
      <c r="Q16" s="450">
        <f t="shared" si="3"/>
        <v>0</v>
      </c>
      <c r="R16" s="528"/>
      <c r="S16" s="450"/>
      <c r="T16" s="451"/>
    </row>
    <row r="17" spans="1:20" ht="19.5" customHeight="1">
      <c r="A17" s="448" t="s">
        <v>208</v>
      </c>
      <c r="B17" s="863">
        <f t="shared" si="4"/>
        <v>71.2</v>
      </c>
      <c r="C17" s="862">
        <f>H17*'[1]случаи'!AZ17</f>
        <v>71.2</v>
      </c>
      <c r="D17" s="865"/>
      <c r="E17" s="897">
        <f t="shared" si="5"/>
        <v>1068</v>
      </c>
      <c r="F17" s="864">
        <f>ROUND('[1]случаи'!BC17*'[1]койко-дни'!AL17,1)</f>
        <v>1068</v>
      </c>
      <c r="G17" s="900">
        <f>ROUND(H17*'[1]случаи'!BG17,1)</f>
        <v>0</v>
      </c>
      <c r="H17" s="892">
        <v>8.9</v>
      </c>
      <c r="I17" s="868">
        <f t="shared" si="6"/>
        <v>1139.2</v>
      </c>
      <c r="J17" s="519">
        <f>ROUND('[1]случаи'!BF17*'[1]койко-дни'!AL17,1)</f>
        <v>1139.2</v>
      </c>
      <c r="K17" s="870">
        <f>ROUND('[1]случаи'!BG17*'[1]койко-дни'!AL17,1)</f>
        <v>0</v>
      </c>
      <c r="L17" s="525">
        <f t="shared" si="0"/>
        <v>95</v>
      </c>
      <c r="M17" s="523">
        <v>95</v>
      </c>
      <c r="N17" s="526"/>
      <c r="O17" s="527">
        <f t="shared" si="1"/>
        <v>126.66666666666666</v>
      </c>
      <c r="P17" s="449">
        <f t="shared" si="2"/>
        <v>126.66666666666666</v>
      </c>
      <c r="Q17" s="450">
        <f t="shared" si="3"/>
        <v>0</v>
      </c>
      <c r="R17" s="528"/>
      <c r="S17" s="450"/>
      <c r="T17" s="451"/>
    </row>
    <row r="18" spans="1:20" ht="19.5" customHeight="1">
      <c r="A18" s="448" t="s">
        <v>209</v>
      </c>
      <c r="B18" s="863">
        <f t="shared" si="4"/>
        <v>107</v>
      </c>
      <c r="C18" s="862">
        <f>H18*'[1]случаи'!AZ18</f>
        <v>107</v>
      </c>
      <c r="D18" s="865"/>
      <c r="E18" s="897">
        <f t="shared" si="5"/>
        <v>1819</v>
      </c>
      <c r="F18" s="864">
        <f>ROUND('[1]случаи'!BC18*'[1]койко-дни'!AL18,1)</f>
        <v>1605</v>
      </c>
      <c r="G18" s="900">
        <f>ROUND(H18*'[1]случаи'!BD18,1)</f>
        <v>214</v>
      </c>
      <c r="H18" s="892">
        <v>10.7</v>
      </c>
      <c r="I18" s="868">
        <f t="shared" si="6"/>
        <v>1926</v>
      </c>
      <c r="J18" s="519">
        <f>ROUND('[1]случаи'!BF18*'[1]койко-дни'!AL18,1)</f>
        <v>1712</v>
      </c>
      <c r="K18" s="870">
        <f>ROUND('[1]случаи'!BG18*'[1]койко-дни'!AL18,1)</f>
        <v>214</v>
      </c>
      <c r="L18" s="525">
        <f t="shared" si="0"/>
        <v>90</v>
      </c>
      <c r="M18" s="523">
        <v>75</v>
      </c>
      <c r="N18" s="526">
        <v>15</v>
      </c>
      <c r="O18" s="527">
        <f t="shared" si="1"/>
        <v>120</v>
      </c>
      <c r="P18" s="449">
        <f t="shared" si="2"/>
        <v>100</v>
      </c>
      <c r="Q18" s="450">
        <f t="shared" si="3"/>
        <v>20</v>
      </c>
      <c r="R18" s="528"/>
      <c r="S18" s="450"/>
      <c r="T18" s="451"/>
    </row>
    <row r="19" spans="1:20" ht="19.5" customHeight="1">
      <c r="A19" s="448" t="s">
        <v>210</v>
      </c>
      <c r="B19" s="863">
        <f t="shared" si="4"/>
        <v>46.2</v>
      </c>
      <c r="C19" s="862">
        <f>H19*'[1]случаи'!AZ19</f>
        <v>46.2</v>
      </c>
      <c r="D19" s="865"/>
      <c r="E19" s="897">
        <f t="shared" si="5"/>
        <v>924</v>
      </c>
      <c r="F19" s="864">
        <f>ROUND('[1]случаи'!BC19*'[1]койко-дни'!AL19,1)</f>
        <v>616</v>
      </c>
      <c r="G19" s="900">
        <f>ROUND(H19*'[1]случаи'!BD19,1)</f>
        <v>308</v>
      </c>
      <c r="H19" s="892">
        <v>7.7</v>
      </c>
      <c r="I19" s="868">
        <f t="shared" si="6"/>
        <v>970.2</v>
      </c>
      <c r="J19" s="519">
        <f>ROUND('[1]случаи'!BF19*'[1]койко-дни'!AL19,1)</f>
        <v>662.2</v>
      </c>
      <c r="K19" s="870">
        <f>ROUND('[1]случаи'!BG19*'[1]койко-дни'!AL19,1)</f>
        <v>308</v>
      </c>
      <c r="L19" s="525">
        <f t="shared" si="0"/>
        <v>50</v>
      </c>
      <c r="M19" s="523">
        <v>31</v>
      </c>
      <c r="N19" s="526">
        <v>19</v>
      </c>
      <c r="O19" s="527">
        <f t="shared" si="1"/>
        <v>66.66666666666667</v>
      </c>
      <c r="P19" s="449">
        <f t="shared" si="2"/>
        <v>41.333333333333336</v>
      </c>
      <c r="Q19" s="450">
        <f t="shared" si="3"/>
        <v>25.333333333333336</v>
      </c>
      <c r="R19" s="528"/>
      <c r="S19" s="450"/>
      <c r="T19" s="451"/>
    </row>
    <row r="20" spans="1:20" ht="19.5" customHeight="1">
      <c r="A20" s="448" t="s">
        <v>211</v>
      </c>
      <c r="B20" s="863">
        <f t="shared" si="4"/>
        <v>64.80000000000001</v>
      </c>
      <c r="C20" s="862">
        <f>H20*'[1]случаи'!AZ20</f>
        <v>64.80000000000001</v>
      </c>
      <c r="D20" s="865"/>
      <c r="E20" s="897">
        <f t="shared" si="5"/>
        <v>615.6</v>
      </c>
      <c r="F20" s="864">
        <f>ROUND('[1]случаи'!BC20*'[1]койко-дни'!AL20,1)</f>
        <v>615.6</v>
      </c>
      <c r="G20" s="900">
        <f>ROUND(H20*'[1]случаи'!BG20,1)</f>
        <v>0</v>
      </c>
      <c r="H20" s="892">
        <v>10.8</v>
      </c>
      <c r="I20" s="868">
        <f t="shared" si="6"/>
        <v>680.4</v>
      </c>
      <c r="J20" s="519">
        <f>ROUND('[1]случаи'!BF20*'[1]койко-дни'!AL20,1)</f>
        <v>680.4</v>
      </c>
      <c r="K20" s="870">
        <f>ROUND('[1]случаи'!BG20*'[1]койко-дни'!AL20,1)</f>
        <v>0</v>
      </c>
      <c r="L20" s="525">
        <f t="shared" si="0"/>
        <v>39</v>
      </c>
      <c r="M20" s="523">
        <v>39</v>
      </c>
      <c r="N20" s="526"/>
      <c r="O20" s="527">
        <f t="shared" si="1"/>
        <v>52</v>
      </c>
      <c r="P20" s="449">
        <f t="shared" si="2"/>
        <v>52</v>
      </c>
      <c r="Q20" s="450">
        <f t="shared" si="3"/>
        <v>0</v>
      </c>
      <c r="R20" s="528"/>
      <c r="S20" s="450"/>
      <c r="T20" s="451"/>
    </row>
    <row r="21" spans="1:20" ht="19.5" customHeight="1">
      <c r="A21" s="448" t="s">
        <v>212</v>
      </c>
      <c r="B21" s="863">
        <f t="shared" si="4"/>
        <v>378</v>
      </c>
      <c r="C21" s="862">
        <f>H21*'[1]случаи'!AZ21</f>
        <v>378</v>
      </c>
      <c r="D21" s="865"/>
      <c r="E21" s="897">
        <f t="shared" si="5"/>
        <v>3150</v>
      </c>
      <c r="F21" s="864">
        <f>ROUND('[1]случаи'!BC21*'[1]койко-дни'!AL21,1)</f>
        <v>3024</v>
      </c>
      <c r="G21" s="900">
        <f>ROUND(H21*'[1]случаи'!BD21,1)</f>
        <v>126</v>
      </c>
      <c r="H21" s="892">
        <v>6.3</v>
      </c>
      <c r="I21" s="868">
        <f t="shared" si="6"/>
        <v>3528</v>
      </c>
      <c r="J21" s="519">
        <f>ROUND('[1]случаи'!BF21*'[1]койко-дни'!AL21,1)</f>
        <v>3402</v>
      </c>
      <c r="K21" s="870">
        <f>ROUND('[1]случаи'!BG21*'[1]койко-дни'!AL21,1)</f>
        <v>126</v>
      </c>
      <c r="L21" s="525">
        <f t="shared" si="0"/>
        <v>334</v>
      </c>
      <c r="M21" s="523">
        <v>334</v>
      </c>
      <c r="N21" s="526"/>
      <c r="O21" s="527">
        <f t="shared" si="1"/>
        <v>445.33333333333337</v>
      </c>
      <c r="P21" s="449">
        <f t="shared" si="2"/>
        <v>445.33333333333337</v>
      </c>
      <c r="Q21" s="450">
        <f t="shared" si="3"/>
        <v>0</v>
      </c>
      <c r="R21" s="528"/>
      <c r="S21" s="450"/>
      <c r="T21" s="451"/>
    </row>
    <row r="22" spans="1:20" ht="19.5" customHeight="1">
      <c r="A22" s="448" t="s">
        <v>186</v>
      </c>
      <c r="B22" s="863">
        <f t="shared" si="4"/>
        <v>60.8</v>
      </c>
      <c r="C22" s="862">
        <f>H22*'[1]случаи'!AZ22</f>
        <v>60.8</v>
      </c>
      <c r="D22" s="865"/>
      <c r="E22" s="897">
        <f t="shared" si="5"/>
        <v>1520</v>
      </c>
      <c r="F22" s="864">
        <f>ROUND('[1]случаи'!BC22*'[1]койко-дни'!AL22,1)</f>
        <v>912</v>
      </c>
      <c r="G22" s="900">
        <f>ROUND(H22*'[1]случаи'!BD22,1)</f>
        <v>608</v>
      </c>
      <c r="H22" s="892">
        <v>7.6</v>
      </c>
      <c r="I22" s="868">
        <f t="shared" si="6"/>
        <v>1580.8</v>
      </c>
      <c r="J22" s="519">
        <f>ROUND('[1]случаи'!BF22*'[1]койко-дни'!AL22,1)</f>
        <v>972.8</v>
      </c>
      <c r="K22" s="870">
        <f>ROUND('[1]случаи'!BG22*'[1]койко-дни'!AL22,1)</f>
        <v>608</v>
      </c>
      <c r="L22" s="525">
        <f t="shared" si="0"/>
        <v>185</v>
      </c>
      <c r="M22" s="523">
        <v>123</v>
      </c>
      <c r="N22" s="526">
        <v>62</v>
      </c>
      <c r="O22" s="527">
        <f t="shared" si="1"/>
        <v>246.66666666666669</v>
      </c>
      <c r="P22" s="449">
        <f t="shared" si="2"/>
        <v>164</v>
      </c>
      <c r="Q22" s="450">
        <f t="shared" si="3"/>
        <v>82.66666666666667</v>
      </c>
      <c r="R22" s="528"/>
      <c r="S22" s="450"/>
      <c r="T22" s="451"/>
    </row>
    <row r="23" spans="1:20" ht="19.5" customHeight="1">
      <c r="A23" s="448" t="s">
        <v>171</v>
      </c>
      <c r="B23" s="863">
        <f t="shared" si="4"/>
        <v>0</v>
      </c>
      <c r="C23" s="862"/>
      <c r="D23" s="865"/>
      <c r="E23" s="897">
        <f t="shared" si="5"/>
        <v>557.6</v>
      </c>
      <c r="F23" s="864">
        <f>ROUND('[1]случаи'!BC23*'[1]койко-дни'!AL23,1)</f>
        <v>455.6</v>
      </c>
      <c r="G23" s="900">
        <f>ROUND(H23*'[1]случаи'!BD23,1)</f>
        <v>102</v>
      </c>
      <c r="H23" s="892">
        <v>6.8</v>
      </c>
      <c r="I23" s="868">
        <f t="shared" si="6"/>
        <v>557.6</v>
      </c>
      <c r="J23" s="519">
        <f>ROUND('[1]случаи'!BF23*'[1]койко-дни'!AL23,1)</f>
        <v>455.6</v>
      </c>
      <c r="K23" s="870">
        <f>ROUND('[1]случаи'!BG23*'[1]койко-дни'!AL23,1)</f>
        <v>102</v>
      </c>
      <c r="L23" s="525">
        <f t="shared" si="0"/>
        <v>0</v>
      </c>
      <c r="M23" s="523"/>
      <c r="N23" s="526"/>
      <c r="O23" s="527">
        <f t="shared" si="1"/>
        <v>0</v>
      </c>
      <c r="P23" s="449">
        <f t="shared" si="2"/>
        <v>0</v>
      </c>
      <c r="Q23" s="450">
        <f t="shared" si="3"/>
        <v>0</v>
      </c>
      <c r="R23" s="528"/>
      <c r="S23" s="450"/>
      <c r="T23" s="451"/>
    </row>
    <row r="24" spans="1:20" ht="19.5" customHeight="1">
      <c r="A24" s="448" t="s">
        <v>213</v>
      </c>
      <c r="B24" s="863">
        <f t="shared" si="4"/>
        <v>423.5</v>
      </c>
      <c r="C24" s="862">
        <f>H24*'[1]случаи'!AZ24</f>
        <v>423.5</v>
      </c>
      <c r="D24" s="865"/>
      <c r="E24" s="897">
        <f t="shared" si="5"/>
        <v>6050</v>
      </c>
      <c r="F24" s="864">
        <f>ROUND('[1]случаи'!BC24*'[1]койко-дни'!AL24,1)</f>
        <v>5324</v>
      </c>
      <c r="G24" s="900">
        <f>ROUND(H24*'[1]случаи'!BD24,1)</f>
        <v>726</v>
      </c>
      <c r="H24" s="892">
        <v>12.1</v>
      </c>
      <c r="I24" s="868">
        <f t="shared" si="6"/>
        <v>6473.5</v>
      </c>
      <c r="J24" s="519">
        <f>ROUND('[1]случаи'!BF24*'[1]койко-дни'!AL24,1)</f>
        <v>5747.5</v>
      </c>
      <c r="K24" s="870">
        <f>ROUND('[1]случаи'!BG24*'[1]койко-дни'!AL24,1)</f>
        <v>726</v>
      </c>
      <c r="L24" s="525">
        <f t="shared" si="0"/>
        <v>289</v>
      </c>
      <c r="M24" s="523">
        <v>289</v>
      </c>
      <c r="N24" s="526"/>
      <c r="O24" s="527">
        <f t="shared" si="1"/>
        <v>385.33333333333337</v>
      </c>
      <c r="P24" s="449">
        <f t="shared" si="2"/>
        <v>385.33333333333337</v>
      </c>
      <c r="Q24" s="450">
        <f t="shared" si="3"/>
        <v>0</v>
      </c>
      <c r="R24" s="528"/>
      <c r="S24" s="450"/>
      <c r="T24" s="451"/>
    </row>
    <row r="25" spans="1:20" ht="19.5" customHeight="1">
      <c r="A25" s="448" t="s">
        <v>135</v>
      </c>
      <c r="B25" s="863">
        <f t="shared" si="4"/>
        <v>0</v>
      </c>
      <c r="C25" s="862"/>
      <c r="D25" s="865"/>
      <c r="E25" s="897">
        <f t="shared" si="5"/>
        <v>578.1</v>
      </c>
      <c r="F25" s="864">
        <f>ROUND('[1]случаи'!BC25*'[1]койко-дни'!AL25,1)</f>
        <v>516.6</v>
      </c>
      <c r="G25" s="900">
        <f>ROUND(H25*'[1]случаи'!BD25,1)</f>
        <v>61.5</v>
      </c>
      <c r="H25" s="892">
        <v>12.3</v>
      </c>
      <c r="I25" s="868">
        <f t="shared" si="6"/>
        <v>578.1</v>
      </c>
      <c r="J25" s="519">
        <f>ROUND('[1]случаи'!BF25*'[1]койко-дни'!AL25,1)</f>
        <v>516.6</v>
      </c>
      <c r="K25" s="870">
        <f>ROUND('[1]случаи'!BG25*'[1]койко-дни'!AL25,1)</f>
        <v>61.5</v>
      </c>
      <c r="L25" s="525">
        <f t="shared" si="0"/>
        <v>18</v>
      </c>
      <c r="M25" s="523">
        <v>18</v>
      </c>
      <c r="N25" s="526"/>
      <c r="O25" s="527">
        <f t="shared" si="1"/>
        <v>24</v>
      </c>
      <c r="P25" s="449">
        <f t="shared" si="2"/>
        <v>24</v>
      </c>
      <c r="Q25" s="450">
        <f t="shared" si="3"/>
        <v>0</v>
      </c>
      <c r="R25" s="528"/>
      <c r="S25" s="450"/>
      <c r="T25" s="451"/>
    </row>
    <row r="26" spans="1:20" ht="19.5" customHeight="1">
      <c r="A26" s="448" t="s">
        <v>164</v>
      </c>
      <c r="B26" s="863">
        <f t="shared" si="4"/>
        <v>248.5</v>
      </c>
      <c r="C26" s="862">
        <f>H26*'[1]случаи'!AZ26</f>
        <v>248.5</v>
      </c>
      <c r="D26" s="865"/>
      <c r="E26" s="897">
        <f t="shared" si="5"/>
        <v>11494.9</v>
      </c>
      <c r="F26" s="864">
        <f>ROUND('[1]случаи'!BC26*'[1]койко-дни'!AL26,1)</f>
        <v>1775</v>
      </c>
      <c r="G26" s="900">
        <f>ROUND(H26*'[1]случаи'!BD26,1)</f>
        <v>9719.9</v>
      </c>
      <c r="H26" s="892">
        <v>7.1</v>
      </c>
      <c r="I26" s="868">
        <f t="shared" si="6"/>
        <v>11743.4</v>
      </c>
      <c r="J26" s="519">
        <f>ROUND('[1]случаи'!BF26*'[1]койко-дни'!AL26,1)</f>
        <v>2023.5</v>
      </c>
      <c r="K26" s="870">
        <f>ROUND('[1]случаи'!BG26*'[1]койко-дни'!AL26,1)</f>
        <v>9719.9</v>
      </c>
      <c r="L26" s="525">
        <f t="shared" si="0"/>
        <v>852</v>
      </c>
      <c r="M26" s="523">
        <v>175</v>
      </c>
      <c r="N26" s="526">
        <v>677</v>
      </c>
      <c r="O26" s="527">
        <f t="shared" si="1"/>
        <v>1136</v>
      </c>
      <c r="P26" s="449">
        <f t="shared" si="2"/>
        <v>233.33333333333331</v>
      </c>
      <c r="Q26" s="450">
        <f t="shared" si="3"/>
        <v>902.6666666666667</v>
      </c>
      <c r="R26" s="528"/>
      <c r="S26" s="450"/>
      <c r="T26" s="451"/>
    </row>
    <row r="27" spans="1:20" ht="19.5" customHeight="1">
      <c r="A27" s="448" t="s">
        <v>215</v>
      </c>
      <c r="B27" s="863">
        <f t="shared" si="4"/>
        <v>0</v>
      </c>
      <c r="C27" s="862"/>
      <c r="D27" s="865"/>
      <c r="E27" s="897">
        <f t="shared" si="5"/>
        <v>3360</v>
      </c>
      <c r="F27" s="864">
        <f>ROUND('[1]случаи'!BC27*'[1]койко-дни'!AL27,1)</f>
        <v>3360</v>
      </c>
      <c r="G27" s="900">
        <f>ROUND(H27*'[1]случаи'!BG27,1)</f>
        <v>0</v>
      </c>
      <c r="H27" s="892">
        <v>5.6</v>
      </c>
      <c r="I27" s="868">
        <f t="shared" si="6"/>
        <v>3360</v>
      </c>
      <c r="J27" s="519">
        <f>ROUND('[1]случаи'!BF27*'[1]койко-дни'!AL27,1)</f>
        <v>3360</v>
      </c>
      <c r="K27" s="870">
        <f>ROUND('[1]случаи'!BG27*'[1]койко-дни'!AL27,1)</f>
        <v>0</v>
      </c>
      <c r="L27" s="525">
        <f t="shared" si="0"/>
        <v>431</v>
      </c>
      <c r="M27" s="523">
        <v>431</v>
      </c>
      <c r="N27" s="526"/>
      <c r="O27" s="527">
        <f t="shared" si="1"/>
        <v>574.6666666666666</v>
      </c>
      <c r="P27" s="449">
        <f t="shared" si="2"/>
        <v>574.6666666666666</v>
      </c>
      <c r="Q27" s="450">
        <f t="shared" si="3"/>
        <v>0</v>
      </c>
      <c r="R27" s="528"/>
      <c r="S27" s="450"/>
      <c r="T27" s="451"/>
    </row>
    <row r="28" spans="1:20" ht="19.5" customHeight="1">
      <c r="A28" s="452" t="s">
        <v>216</v>
      </c>
      <c r="B28" s="863">
        <f t="shared" si="4"/>
        <v>0</v>
      </c>
      <c r="C28" s="862"/>
      <c r="D28" s="865"/>
      <c r="E28" s="897">
        <f t="shared" si="5"/>
        <v>3850</v>
      </c>
      <c r="F28" s="864">
        <f>ROUND('[1]случаи'!BC28*'[1]койко-дни'!AL28,1)</f>
        <v>3850</v>
      </c>
      <c r="G28" s="900">
        <f>ROUND(H28*'[1]случаи'!BG28,1)</f>
        <v>0</v>
      </c>
      <c r="H28" s="893">
        <v>7.7</v>
      </c>
      <c r="I28" s="868">
        <f t="shared" si="6"/>
        <v>3850</v>
      </c>
      <c r="J28" s="519">
        <f>ROUND('[1]случаи'!BF28*'[1]койко-дни'!AL28,1)</f>
        <v>3850</v>
      </c>
      <c r="K28" s="870">
        <f>ROUND('[1]случаи'!BG28*'[1]койко-дни'!AL28,1)</f>
        <v>0</v>
      </c>
      <c r="L28" s="525">
        <f t="shared" si="0"/>
        <v>377</v>
      </c>
      <c r="M28" s="523">
        <v>377</v>
      </c>
      <c r="N28" s="526"/>
      <c r="O28" s="527">
        <f t="shared" si="1"/>
        <v>502.66666666666663</v>
      </c>
      <c r="P28" s="449">
        <f t="shared" si="2"/>
        <v>502.66666666666663</v>
      </c>
      <c r="Q28" s="450">
        <f t="shared" si="3"/>
        <v>0</v>
      </c>
      <c r="R28" s="528"/>
      <c r="S28" s="450"/>
      <c r="T28" s="451"/>
    </row>
    <row r="29" spans="1:20" ht="19.5" customHeight="1" thickBot="1">
      <c r="A29" s="448" t="s">
        <v>165</v>
      </c>
      <c r="B29" s="863">
        <f t="shared" si="4"/>
        <v>249.20000000000002</v>
      </c>
      <c r="C29" s="862">
        <f>H29*'[1]случаи'!AZ29</f>
        <v>249.20000000000002</v>
      </c>
      <c r="D29" s="865"/>
      <c r="E29" s="897">
        <f t="shared" si="5"/>
        <v>5340</v>
      </c>
      <c r="F29" s="864">
        <f>ROUND('[1]случаи'!BC29*'[1]койко-дни'!AL29,1)</f>
        <v>3560</v>
      </c>
      <c r="G29" s="900">
        <f>ROUND(H29*'[1]случаи'!BD29,1)</f>
        <v>1780</v>
      </c>
      <c r="H29" s="892">
        <v>8.9</v>
      </c>
      <c r="I29" s="868">
        <f t="shared" si="6"/>
        <v>5589.2</v>
      </c>
      <c r="J29" s="519">
        <f>ROUND('[1]случаи'!BF29*'[1]койко-дни'!AL29,1)</f>
        <v>3809.2</v>
      </c>
      <c r="K29" s="870">
        <f>ROUND('[1]случаи'!BG29*'[1]койко-дни'!AL29,1)</f>
        <v>1780</v>
      </c>
      <c r="L29" s="548">
        <f t="shared" si="0"/>
        <v>460</v>
      </c>
      <c r="M29" s="546">
        <v>221</v>
      </c>
      <c r="N29" s="549">
        <v>239</v>
      </c>
      <c r="O29" s="550">
        <f t="shared" si="1"/>
        <v>613.3333333333334</v>
      </c>
      <c r="P29" s="453">
        <f t="shared" si="2"/>
        <v>294.6666666666667</v>
      </c>
      <c r="Q29" s="454">
        <f t="shared" si="3"/>
        <v>318.6666666666667</v>
      </c>
      <c r="R29" s="551"/>
      <c r="S29" s="454"/>
      <c r="T29" s="455"/>
    </row>
    <row r="30" spans="1:20" ht="27" customHeight="1" hidden="1" thickBot="1">
      <c r="A30" s="910" t="s">
        <v>217</v>
      </c>
      <c r="B30" s="871"/>
      <c r="C30" s="871"/>
      <c r="D30" s="872"/>
      <c r="E30" s="901"/>
      <c r="F30" s="871"/>
      <c r="G30" s="902"/>
      <c r="H30" s="464">
        <v>16.6</v>
      </c>
      <c r="I30" s="873">
        <f t="shared" si="6"/>
        <v>0</v>
      </c>
      <c r="J30" s="874">
        <f>ROUND('[1]случаи'!BF30*'[1]койко-дни'!AL30,1)</f>
        <v>0</v>
      </c>
      <c r="K30" s="875">
        <f>ROUND('[1]случаи'!BG30*'[1]койко-дни'!AL30,1)</f>
        <v>0</v>
      </c>
      <c r="L30" s="548"/>
      <c r="M30" s="546"/>
      <c r="N30" s="549"/>
      <c r="O30" s="550"/>
      <c r="P30" s="453"/>
      <c r="Q30" s="454"/>
      <c r="R30" s="551"/>
      <c r="S30" s="454"/>
      <c r="T30" s="455"/>
    </row>
    <row r="31" spans="1:20" ht="30" customHeight="1" thickBot="1">
      <c r="A31" s="911" t="s">
        <v>236</v>
      </c>
      <c r="B31" s="876">
        <f aca="true" t="shared" si="7" ref="B31:G31">SUM(B9:B30)</f>
        <v>2314.8</v>
      </c>
      <c r="C31" s="876">
        <f t="shared" si="7"/>
        <v>2263.2</v>
      </c>
      <c r="D31" s="887">
        <f t="shared" si="7"/>
        <v>51.599999999999994</v>
      </c>
      <c r="E31" s="903">
        <f t="shared" si="7"/>
        <v>57865.2</v>
      </c>
      <c r="F31" s="877">
        <f t="shared" si="7"/>
        <v>40671.799999999996</v>
      </c>
      <c r="G31" s="904">
        <f t="shared" si="7"/>
        <v>17193.4</v>
      </c>
      <c r="H31" s="894">
        <v>8.54243</v>
      </c>
      <c r="I31" s="878">
        <f t="shared" si="6"/>
        <v>60180</v>
      </c>
      <c r="J31" s="879">
        <f>SUM(J9:J30)</f>
        <v>42935</v>
      </c>
      <c r="K31" s="880">
        <f>SUM(K9:K30)</f>
        <v>17245</v>
      </c>
      <c r="L31" s="570">
        <f>M31+N31</f>
        <v>4375</v>
      </c>
      <c r="M31" s="568">
        <f>SUM(M9:M29)</f>
        <v>3128</v>
      </c>
      <c r="N31" s="569">
        <f>SUM(N9:N29)</f>
        <v>1247</v>
      </c>
      <c r="O31" s="571">
        <f>P31+Q31</f>
        <v>5833.333333333332</v>
      </c>
      <c r="P31" s="572">
        <f>M31/9*12</f>
        <v>4170.666666666666</v>
      </c>
      <c r="Q31" s="573">
        <f>N31/9*12</f>
        <v>1662.6666666666665</v>
      </c>
      <c r="R31" s="571">
        <v>421</v>
      </c>
      <c r="S31" s="560"/>
      <c r="T31" s="574"/>
    </row>
    <row r="32" spans="1:20" ht="27" customHeight="1" thickBot="1">
      <c r="A32" s="912" t="s">
        <v>235</v>
      </c>
      <c r="B32" s="881"/>
      <c r="C32" s="881"/>
      <c r="D32" s="888"/>
      <c r="E32" s="905"/>
      <c r="F32" s="881"/>
      <c r="G32" s="906"/>
      <c r="H32" s="895"/>
      <c r="I32" s="853">
        <v>3581</v>
      </c>
      <c r="J32" s="882"/>
      <c r="K32" s="883"/>
      <c r="L32" s="567"/>
      <c r="M32" s="568"/>
      <c r="N32" s="568"/>
      <c r="O32" s="560"/>
      <c r="P32" s="572"/>
      <c r="Q32" s="572"/>
      <c r="R32" s="560"/>
      <c r="S32" s="560"/>
      <c r="T32" s="560"/>
    </row>
    <row r="33" spans="1:20" ht="27" customHeight="1" thickBot="1">
      <c r="A33" s="456" t="s">
        <v>178</v>
      </c>
      <c r="B33" s="884"/>
      <c r="C33" s="884"/>
      <c r="D33" s="889"/>
      <c r="E33" s="907"/>
      <c r="F33" s="884"/>
      <c r="G33" s="908"/>
      <c r="H33" s="896"/>
      <c r="I33" s="854">
        <f>I31+I32</f>
        <v>63761</v>
      </c>
      <c r="J33" s="885"/>
      <c r="K33" s="886"/>
      <c r="L33" s="852"/>
      <c r="M33" s="582"/>
      <c r="N33" s="582"/>
      <c r="O33" s="581"/>
      <c r="P33" s="583"/>
      <c r="Q33" s="583"/>
      <c r="R33" s="581"/>
      <c r="S33" s="581"/>
      <c r="T33" s="581"/>
    </row>
    <row r="34" spans="1:20" ht="15.75">
      <c r="A34" s="592"/>
      <c r="B34" s="652"/>
      <c r="C34" s="652"/>
      <c r="D34" s="652"/>
      <c r="E34" s="652"/>
      <c r="F34" s="652"/>
      <c r="G34" s="652"/>
      <c r="H34" s="652"/>
      <c r="I34" s="652"/>
      <c r="J34" s="652"/>
      <c r="K34" s="652"/>
      <c r="L34" s="651"/>
      <c r="M34" s="651"/>
      <c r="N34" s="651"/>
      <c r="O34" s="651"/>
      <c r="P34" s="651"/>
      <c r="Q34" s="651"/>
      <c r="R34" s="651"/>
      <c r="S34" s="651"/>
      <c r="T34" s="651"/>
    </row>
    <row r="35" spans="1:20" ht="15.75">
      <c r="A35" s="592"/>
      <c r="B35" s="1143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3"/>
      <c r="P35" s="1143"/>
      <c r="Q35" s="1143"/>
      <c r="R35" s="1143"/>
      <c r="S35" s="1143"/>
      <c r="T35" s="1143"/>
    </row>
    <row r="36" spans="5:20" ht="15.75">
      <c r="E36" s="224"/>
      <c r="F36" s="224"/>
      <c r="L36" s="471"/>
      <c r="M36" s="471"/>
      <c r="N36" s="471"/>
      <c r="O36" s="471"/>
      <c r="P36" s="468"/>
      <c r="Q36" s="468"/>
      <c r="R36" s="468"/>
      <c r="S36" s="468"/>
      <c r="T36" s="468"/>
    </row>
    <row r="37" spans="12:20" ht="15.75">
      <c r="L37" s="471"/>
      <c r="M37" s="471"/>
      <c r="N37" s="471"/>
      <c r="O37" s="471"/>
      <c r="P37" s="468"/>
      <c r="Q37" s="468"/>
      <c r="R37" s="468"/>
      <c r="S37" s="468"/>
      <c r="T37" s="468"/>
    </row>
    <row r="38" spans="12:20" ht="15.75">
      <c r="L38" s="471"/>
      <c r="M38" s="471"/>
      <c r="N38" s="471"/>
      <c r="O38" s="471"/>
      <c r="P38" s="468"/>
      <c r="Q38" s="468"/>
      <c r="R38" s="468"/>
      <c r="S38" s="468"/>
      <c r="T38" s="468"/>
    </row>
    <row r="39" spans="12:20" ht="15.75">
      <c r="L39" s="471"/>
      <c r="M39" s="471"/>
      <c r="N39" s="471"/>
      <c r="O39" s="471"/>
      <c r="P39" s="468"/>
      <c r="Q39" s="468"/>
      <c r="R39" s="468"/>
      <c r="S39" s="468"/>
      <c r="T39" s="468"/>
    </row>
    <row r="40" spans="12:20" ht="15.75">
      <c r="L40" s="471"/>
      <c r="M40" s="471"/>
      <c r="N40" s="471"/>
      <c r="O40" s="471"/>
      <c r="P40" s="468"/>
      <c r="Q40" s="468"/>
      <c r="R40" s="468"/>
      <c r="S40" s="468"/>
      <c r="T40" s="468"/>
    </row>
    <row r="41" spans="12:20" ht="15.75">
      <c r="L41" s="471"/>
      <c r="M41" s="471"/>
      <c r="N41" s="471"/>
      <c r="O41" s="471"/>
      <c r="P41" s="468"/>
      <c r="Q41" s="468"/>
      <c r="R41" s="468"/>
      <c r="S41" s="468"/>
      <c r="T41" s="468"/>
    </row>
    <row r="42" spans="12:20" ht="15.75">
      <c r="L42" s="464"/>
      <c r="M42" s="464"/>
      <c r="N42" s="464"/>
      <c r="O42" s="464"/>
      <c r="P42" s="472"/>
      <c r="Q42" s="472"/>
      <c r="R42" s="472"/>
      <c r="S42" s="472"/>
      <c r="T42" s="472"/>
    </row>
    <row r="58" ht="15" customHeight="1" hidden="1"/>
    <row r="59" ht="15.75" customHeight="1" hidden="1" thickBot="1"/>
    <row r="60" ht="15" customHeight="1" hidden="1"/>
    <row r="61" ht="65.25" customHeight="1" hidden="1"/>
    <row r="62" ht="15" customHeight="1" hidden="1" thickBot="1"/>
    <row r="63" ht="15.75" customHeight="1" hidden="1" thickBot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.75" customHeight="1" hidden="1" thickBot="1"/>
    <row r="86" ht="15.75" customHeight="1" hidden="1" thickBot="1"/>
    <row r="87" ht="15" customHeight="1" hidden="1"/>
    <row r="88" ht="15" customHeight="1" hidden="1"/>
    <row r="89" ht="15" customHeight="1" hidden="1"/>
    <row r="90" ht="15.75" customHeight="1" hidden="1" thickBot="1"/>
    <row r="91" ht="15" customHeight="1" hidden="1"/>
    <row r="92" ht="65.25" customHeight="1" hidden="1"/>
    <row r="93" ht="15" customHeight="1" hidden="1" thickBot="1"/>
    <row r="94" ht="15.75" customHeight="1" hidden="1" thickBot="1"/>
    <row r="95" ht="15.75" customHeight="1" hidden="1" thickBot="1"/>
    <row r="96" ht="15.75" customHeight="1" hidden="1" thickBot="1"/>
    <row r="97" ht="15" customHeight="1" hidden="1"/>
    <row r="98" ht="15" customHeight="1" hidden="1"/>
    <row r="99" ht="15" customHeight="1" hidden="1"/>
    <row r="100" ht="15.75" customHeight="1" hidden="1" thickBot="1"/>
    <row r="101" ht="15" customHeight="1" hidden="1"/>
    <row r="102" ht="65.25" customHeight="1" hidden="1"/>
    <row r="103" ht="15" customHeight="1" hidden="1" thickBot="1"/>
    <row r="104" ht="15.75" customHeight="1" hidden="1" thickBot="1"/>
    <row r="105" ht="15.75" customHeight="1" hidden="1" thickBot="1"/>
    <row r="106" ht="15.75" customHeight="1" hidden="1" thickBot="1"/>
    <row r="107" ht="15" customHeight="1" hidden="1"/>
    <row r="108" ht="15" customHeight="1" hidden="1"/>
    <row r="109" ht="15" customHeight="1" hidden="1"/>
    <row r="110" ht="15.75" customHeight="1" hidden="1" thickBot="1"/>
    <row r="111" ht="15" customHeight="1" hidden="1"/>
    <row r="112" ht="65.25" customHeight="1" hidden="1"/>
    <row r="113" ht="15" customHeight="1" hidden="1" thickBot="1"/>
    <row r="114" ht="15.75" customHeight="1" hidden="1" thickBot="1"/>
    <row r="115" ht="15.75" customHeight="1" hidden="1" thickBot="1"/>
    <row r="116" ht="15.75" customHeight="1" hidden="1" thickBot="1"/>
    <row r="117" ht="15" customHeight="1" hidden="1"/>
    <row r="118" ht="15" customHeight="1" hidden="1"/>
    <row r="119" ht="15.75" customHeight="1" hidden="1" thickBot="1"/>
    <row r="120" ht="15" customHeight="1" hidden="1"/>
    <row r="121" ht="65.25" customHeight="1" hidden="1"/>
    <row r="122" ht="15" customHeight="1" hidden="1" thickBot="1"/>
    <row r="123" ht="15.75" customHeight="1" hidden="1" thickBot="1"/>
    <row r="124" ht="15" customHeight="1" hidden="1"/>
    <row r="125" ht="15" customHeight="1" hidden="1"/>
    <row r="126" ht="15" customHeight="1" hidden="1"/>
    <row r="127" ht="15" customHeight="1" hidden="1"/>
    <row r="128" ht="15.75" customHeight="1" hidden="1" thickBot="1"/>
    <row r="129" ht="15.75" customHeight="1" hidden="1" thickBot="1"/>
    <row r="130" ht="15" customHeight="1" hidden="1"/>
    <row r="131" ht="15" customHeight="1" hidden="1"/>
    <row r="132" ht="15.75" customHeight="1" hidden="1" thickBot="1"/>
    <row r="133" ht="15" customHeight="1" hidden="1"/>
    <row r="134" ht="65.25" customHeight="1" hidden="1"/>
    <row r="135" ht="15" customHeight="1" hidden="1" thickBot="1"/>
    <row r="136" ht="15.75" customHeight="1" hidden="1" thickBot="1"/>
    <row r="137" ht="15.75" customHeight="1" hidden="1" thickBot="1"/>
    <row r="138" ht="15.75" customHeight="1" hidden="1" thickBot="1"/>
    <row r="139" ht="15" customHeight="1" hidden="1"/>
    <row r="140" ht="15" customHeight="1" hidden="1"/>
    <row r="141" ht="15.75" customHeight="1" hidden="1" thickBot="1"/>
    <row r="142" ht="15" customHeight="1" hidden="1"/>
    <row r="143" ht="65.25" customHeight="1" hidden="1"/>
    <row r="144" ht="15" customHeight="1" hidden="1" thickBot="1"/>
    <row r="145" ht="15.75" customHeight="1" hidden="1" thickBot="1"/>
    <row r="146" ht="15" customHeight="1" hidden="1"/>
    <row r="147" ht="15.75" customHeight="1" hidden="1" thickBot="1"/>
    <row r="148" ht="15.75" customHeight="1" hidden="1" thickBot="1"/>
    <row r="149" ht="15" customHeight="1" hidden="1"/>
  </sheetData>
  <sheetProtection/>
  <mergeCells count="23">
    <mergeCell ref="B35:T35"/>
    <mergeCell ref="S6:T6"/>
    <mergeCell ref="M6:N6"/>
    <mergeCell ref="R6:R7"/>
    <mergeCell ref="I6:I7"/>
    <mergeCell ref="J6:K6"/>
    <mergeCell ref="L6:L7"/>
    <mergeCell ref="H1:K1"/>
    <mergeCell ref="F6:G6"/>
    <mergeCell ref="A3:K3"/>
    <mergeCell ref="L5:N5"/>
    <mergeCell ref="O5:Q5"/>
    <mergeCell ref="I5:K5"/>
    <mergeCell ref="A5:A7"/>
    <mergeCell ref="R5:T5"/>
    <mergeCell ref="B5:D5"/>
    <mergeCell ref="E5:G5"/>
    <mergeCell ref="H5:H7"/>
    <mergeCell ref="B6:B7"/>
    <mergeCell ref="C6:D6"/>
    <mergeCell ref="O6:O7"/>
    <mergeCell ref="P6:Q6"/>
    <mergeCell ref="E6:E7"/>
  </mergeCells>
  <printOptions/>
  <pageMargins left="0.35" right="0.18" top="0.35" bottom="0.32" header="0.31496062992125984" footer="0.31496062992125984"/>
  <pageSetup fitToHeight="0" horizontalDpi="600" verticalDpi="600" orientation="landscape" paperSize="9" scale="68" r:id="rId1"/>
  <rowBreaks count="1" manualBreakCount="1">
    <brk id="35" max="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M46"/>
  <sheetViews>
    <sheetView view="pageBreakPreview" zoomScale="70" zoomScaleSheetLayoutView="70" zoomScalePageLayoutView="0" workbookViewId="0" topLeftCell="A10">
      <pane xSplit="2" topLeftCell="C1" activePane="topRight" state="frozen"/>
      <selection pane="topLeft" activeCell="A4" sqref="A4"/>
      <selection pane="topRight" activeCell="G27" sqref="G27"/>
    </sheetView>
  </sheetViews>
  <sheetFormatPr defaultColWidth="9.140625" defaultRowHeight="15"/>
  <cols>
    <col min="1" max="1" width="7.7109375" style="0" customWidth="1"/>
    <col min="2" max="2" width="54.8515625" style="594" customWidth="1"/>
    <col min="3" max="3" width="12.140625" style="289" customWidth="1"/>
    <col min="4" max="4" width="12.8515625" style="289" customWidth="1"/>
    <col min="5" max="5" width="11.00390625" style="289" customWidth="1"/>
    <col min="6" max="6" width="12.00390625" style="289" customWidth="1"/>
    <col min="7" max="7" width="12.28125" style="289" customWidth="1"/>
    <col min="8" max="8" width="11.421875" style="289" customWidth="1"/>
    <col min="9" max="9" width="12.28125" style="289" customWidth="1"/>
    <col min="10" max="10" width="12.57421875" style="289" customWidth="1"/>
    <col min="11" max="11" width="12.140625" style="289" customWidth="1"/>
    <col min="15" max="15" width="10.421875" style="0" hidden="1" customWidth="1"/>
    <col min="16" max="16" width="11.8515625" style="0" hidden="1" customWidth="1"/>
    <col min="17" max="17" width="11.00390625" style="0" hidden="1" customWidth="1"/>
    <col min="18" max="18" width="10.421875" style="0" hidden="1" customWidth="1"/>
    <col min="19" max="19" width="13.00390625" style="0" hidden="1" customWidth="1"/>
    <col min="20" max="20" width="11.00390625" style="0" hidden="1" customWidth="1"/>
    <col min="21" max="21" width="13.00390625" style="0" hidden="1" customWidth="1"/>
    <col min="22" max="22" width="12.00390625" style="0" hidden="1" customWidth="1"/>
    <col min="23" max="23" width="9.421875" style="0" hidden="1" customWidth="1"/>
    <col min="24" max="26" width="9.421875" style="426" hidden="1" customWidth="1"/>
    <col min="27" max="27" width="8.140625" style="426" hidden="1" customWidth="1"/>
    <col min="28" max="28" width="7.421875" style="426" hidden="1" customWidth="1"/>
    <col min="29" max="29" width="7.8515625" style="426" hidden="1" customWidth="1"/>
    <col min="30" max="30" width="8.140625" style="426" hidden="1" customWidth="1"/>
    <col min="31" max="31" width="7.7109375" style="426" hidden="1" customWidth="1"/>
    <col min="32" max="32" width="7.57421875" style="426" hidden="1" customWidth="1"/>
    <col min="33" max="33" width="7.7109375" style="426" hidden="1" customWidth="1"/>
    <col min="34" max="34" width="8.00390625" style="427" hidden="1" customWidth="1"/>
    <col min="35" max="35" width="8.28125" style="427" hidden="1" customWidth="1"/>
    <col min="36" max="36" width="10.28125" style="427" hidden="1" customWidth="1"/>
    <col min="37" max="37" width="11.8515625" style="427" hidden="1" customWidth="1"/>
    <col min="38" max="38" width="11.00390625" style="427" hidden="1" customWidth="1"/>
    <col min="39" max="39" width="7.7109375" style="475" customWidth="1"/>
    <col min="40" max="16384" width="9.140625" style="20" customWidth="1"/>
  </cols>
  <sheetData>
    <row r="1" spans="8:39" ht="71.25" customHeight="1">
      <c r="H1" s="1164" t="s">
        <v>195</v>
      </c>
      <c r="I1" s="1164"/>
      <c r="J1" s="1164"/>
      <c r="K1" s="1164"/>
      <c r="L1" s="416"/>
      <c r="M1" s="416"/>
      <c r="N1" s="416"/>
      <c r="AM1" s="415"/>
    </row>
    <row r="2" spans="9:39" ht="15.75">
      <c r="I2" s="427"/>
      <c r="J2" s="428"/>
      <c r="K2" s="426"/>
      <c r="L2" s="286"/>
      <c r="O2" s="224"/>
      <c r="P2" s="224"/>
      <c r="Q2" s="224"/>
      <c r="R2" s="224"/>
      <c r="S2" s="224"/>
      <c r="T2" s="224"/>
      <c r="U2" s="224"/>
      <c r="V2" s="224"/>
      <c r="W2" s="224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65"/>
      <c r="AI2" s="465"/>
      <c r="AJ2" s="465"/>
      <c r="AK2" s="465"/>
      <c r="AL2" s="465"/>
      <c r="AM2" s="413"/>
    </row>
    <row r="3" spans="1:38" ht="42.75" customHeight="1" thickBot="1">
      <c r="A3" s="224"/>
      <c r="B3" s="1165" t="s">
        <v>329</v>
      </c>
      <c r="C3" s="1165"/>
      <c r="D3" s="1165"/>
      <c r="E3" s="1165"/>
      <c r="F3" s="1165"/>
      <c r="G3" s="1165"/>
      <c r="H3" s="1165"/>
      <c r="I3" s="1165"/>
      <c r="J3" s="1165"/>
      <c r="K3" s="1165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</row>
    <row r="4" spans="1:38" ht="33.75" customHeight="1" thickBot="1">
      <c r="A4" s="224"/>
      <c r="B4" s="1194" t="s">
        <v>218</v>
      </c>
      <c r="C4" s="1197" t="s">
        <v>240</v>
      </c>
      <c r="D4" s="1197"/>
      <c r="E4" s="1197"/>
      <c r="F4" s="1197"/>
      <c r="G4" s="1197"/>
      <c r="H4" s="1197"/>
      <c r="I4" s="1115" t="s">
        <v>197</v>
      </c>
      <c r="J4" s="1116"/>
      <c r="K4" s="1117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</row>
    <row r="5" spans="2:38" ht="61.5" customHeight="1" thickBot="1">
      <c r="B5" s="1195"/>
      <c r="C5" s="1121" t="s">
        <v>137</v>
      </c>
      <c r="D5" s="1107"/>
      <c r="E5" s="1122"/>
      <c r="F5" s="1198" t="s">
        <v>138</v>
      </c>
      <c r="G5" s="1199"/>
      <c r="H5" s="1200"/>
      <c r="I5" s="1118"/>
      <c r="J5" s="1119"/>
      <c r="K5" s="1120"/>
      <c r="O5" s="1201" t="s">
        <v>191</v>
      </c>
      <c r="P5" s="1202"/>
      <c r="Q5" s="1203"/>
      <c r="R5" s="1204" t="s">
        <v>192</v>
      </c>
      <c r="S5" s="1202"/>
      <c r="T5" s="1186"/>
      <c r="U5" s="1201" t="s">
        <v>193</v>
      </c>
      <c r="V5" s="1202"/>
      <c r="W5" s="1203"/>
      <c r="X5" s="1205" t="s">
        <v>198</v>
      </c>
      <c r="Y5" s="1206"/>
      <c r="Z5" s="1207"/>
      <c r="AA5" s="1178" t="s">
        <v>199</v>
      </c>
      <c r="AB5" s="1179"/>
      <c r="AC5" s="1182"/>
      <c r="AD5" s="1178" t="s">
        <v>200</v>
      </c>
      <c r="AE5" s="1179"/>
      <c r="AF5" s="1180"/>
      <c r="AG5" s="1181" t="s">
        <v>201</v>
      </c>
      <c r="AH5" s="1179"/>
      <c r="AI5" s="1182"/>
      <c r="AJ5" s="1079" t="s">
        <v>202</v>
      </c>
      <c r="AK5" s="1080"/>
      <c r="AL5" s="1163"/>
    </row>
    <row r="6" spans="2:38" ht="24" customHeight="1">
      <c r="B6" s="1195"/>
      <c r="C6" s="1208" t="s">
        <v>150</v>
      </c>
      <c r="D6" s="1210" t="s">
        <v>250</v>
      </c>
      <c r="E6" s="1211"/>
      <c r="F6" s="1212" t="s">
        <v>150</v>
      </c>
      <c r="G6" s="1214" t="s">
        <v>250</v>
      </c>
      <c r="H6" s="1215"/>
      <c r="I6" s="1216" t="s">
        <v>150</v>
      </c>
      <c r="J6" s="1218" t="s">
        <v>250</v>
      </c>
      <c r="K6" s="1219"/>
      <c r="O6" s="1220" t="s">
        <v>150</v>
      </c>
      <c r="P6" s="1174" t="s">
        <v>183</v>
      </c>
      <c r="Q6" s="1188"/>
      <c r="R6" s="1172" t="s">
        <v>150</v>
      </c>
      <c r="S6" s="1174" t="s">
        <v>183</v>
      </c>
      <c r="T6" s="1175"/>
      <c r="U6" s="1220" t="s">
        <v>150</v>
      </c>
      <c r="V6" s="1174" t="s">
        <v>183</v>
      </c>
      <c r="W6" s="1188"/>
      <c r="X6" s="1181" t="s">
        <v>150</v>
      </c>
      <c r="Y6" s="1179" t="s">
        <v>151</v>
      </c>
      <c r="Z6" s="1182"/>
      <c r="AA6" s="1172" t="s">
        <v>150</v>
      </c>
      <c r="AB6" s="1174" t="s">
        <v>183</v>
      </c>
      <c r="AC6" s="1188"/>
      <c r="AD6" s="1172" t="s">
        <v>150</v>
      </c>
      <c r="AE6" s="1174" t="s">
        <v>183</v>
      </c>
      <c r="AF6" s="1188"/>
      <c r="AG6" s="1172" t="s">
        <v>150</v>
      </c>
      <c r="AH6" s="1174" t="s">
        <v>183</v>
      </c>
      <c r="AI6" s="1175"/>
      <c r="AJ6" s="1189" t="s">
        <v>150</v>
      </c>
      <c r="AK6" s="1186" t="s">
        <v>183</v>
      </c>
      <c r="AL6" s="1187"/>
    </row>
    <row r="7" spans="2:39" ht="21.75" customHeight="1" thickBot="1">
      <c r="B7" s="1196"/>
      <c r="C7" s="1209"/>
      <c r="D7" s="597" t="s">
        <v>152</v>
      </c>
      <c r="E7" s="598" t="s">
        <v>153</v>
      </c>
      <c r="F7" s="1213"/>
      <c r="G7" s="597" t="s">
        <v>152</v>
      </c>
      <c r="H7" s="599" t="s">
        <v>153</v>
      </c>
      <c r="I7" s="1217"/>
      <c r="J7" s="600" t="s">
        <v>152</v>
      </c>
      <c r="K7" s="601" t="s">
        <v>153</v>
      </c>
      <c r="O7" s="1221"/>
      <c r="P7" s="478" t="s">
        <v>203</v>
      </c>
      <c r="Q7" s="481" t="s">
        <v>153</v>
      </c>
      <c r="R7" s="1173"/>
      <c r="S7" s="478" t="s">
        <v>203</v>
      </c>
      <c r="T7" s="480" t="s">
        <v>153</v>
      </c>
      <c r="U7" s="1221"/>
      <c r="V7" s="478" t="s">
        <v>203</v>
      </c>
      <c r="W7" s="481" t="s">
        <v>153</v>
      </c>
      <c r="X7" s="1223"/>
      <c r="Y7" s="482" t="s">
        <v>204</v>
      </c>
      <c r="Z7" s="483" t="s">
        <v>153</v>
      </c>
      <c r="AA7" s="1173"/>
      <c r="AB7" s="478" t="s">
        <v>203</v>
      </c>
      <c r="AC7" s="481" t="s">
        <v>153</v>
      </c>
      <c r="AD7" s="1173"/>
      <c r="AE7" s="478" t="s">
        <v>203</v>
      </c>
      <c r="AF7" s="481" t="s">
        <v>153</v>
      </c>
      <c r="AG7" s="1173"/>
      <c r="AH7" s="478" t="s">
        <v>203</v>
      </c>
      <c r="AI7" s="480" t="s">
        <v>153</v>
      </c>
      <c r="AJ7" s="1190"/>
      <c r="AK7" s="484" t="s">
        <v>152</v>
      </c>
      <c r="AL7" s="485" t="s">
        <v>153</v>
      </c>
      <c r="AM7" s="477"/>
    </row>
    <row r="8" spans="2:38" ht="21.75" customHeight="1" thickBot="1">
      <c r="B8" s="602" t="s">
        <v>156</v>
      </c>
      <c r="C8" s="605">
        <v>1</v>
      </c>
      <c r="D8" s="603">
        <v>2</v>
      </c>
      <c r="E8" s="604">
        <v>3</v>
      </c>
      <c r="F8" s="605">
        <v>4</v>
      </c>
      <c r="G8" s="603">
        <v>5</v>
      </c>
      <c r="H8" s="604">
        <v>6</v>
      </c>
      <c r="I8" s="913">
        <v>7</v>
      </c>
      <c r="J8" s="606">
        <v>8</v>
      </c>
      <c r="K8" s="607">
        <v>9</v>
      </c>
      <c r="O8" s="491">
        <v>1</v>
      </c>
      <c r="P8" s="487">
        <v>2</v>
      </c>
      <c r="Q8" s="489">
        <v>3</v>
      </c>
      <c r="R8" s="492">
        <v>4</v>
      </c>
      <c r="S8" s="487">
        <v>5</v>
      </c>
      <c r="T8" s="490">
        <v>6</v>
      </c>
      <c r="U8" s="491">
        <v>7</v>
      </c>
      <c r="V8" s="487">
        <v>8</v>
      </c>
      <c r="W8" s="489">
        <v>9</v>
      </c>
      <c r="X8" s="493"/>
      <c r="Y8" s="494"/>
      <c r="Z8" s="495"/>
      <c r="AA8" s="496"/>
      <c r="AB8" s="494"/>
      <c r="AC8" s="495"/>
      <c r="AD8" s="496"/>
      <c r="AE8" s="494"/>
      <c r="AF8" s="497"/>
      <c r="AG8" s="493"/>
      <c r="AH8" s="439"/>
      <c r="AI8" s="440"/>
      <c r="AJ8" s="438"/>
      <c r="AK8" s="439"/>
      <c r="AL8" s="444"/>
    </row>
    <row r="9" spans="2:38" ht="19.5" customHeight="1" hidden="1">
      <c r="B9" s="608" t="s">
        <v>219</v>
      </c>
      <c r="C9" s="612">
        <f>D9+E9</f>
        <v>0</v>
      </c>
      <c r="D9" s="613">
        <f>2-2</f>
        <v>0</v>
      </c>
      <c r="E9" s="610"/>
      <c r="F9" s="611">
        <f>G9+H9</f>
        <v>0</v>
      </c>
      <c r="G9" s="609">
        <f>2-2</f>
        <v>0</v>
      </c>
      <c r="H9" s="610"/>
      <c r="I9" s="914">
        <f>J9+K9</f>
        <v>0</v>
      </c>
      <c r="J9" s="614">
        <f>D9+G9</f>
        <v>0</v>
      </c>
      <c r="K9" s="615">
        <f>E9+H9</f>
        <v>0</v>
      </c>
      <c r="O9" s="500">
        <f aca="true" t="shared" si="0" ref="O9:O29">P9+Q9</f>
        <v>0</v>
      </c>
      <c r="P9" s="446">
        <f aca="true" t="shared" si="1" ref="P9:P17">M9/3</f>
        <v>0</v>
      </c>
      <c r="Q9" s="501">
        <f aca="true" t="shared" si="2" ref="Q9:Q17">N9/3</f>
        <v>0</v>
      </c>
      <c r="R9" s="502">
        <f aca="true" t="shared" si="3" ref="R9:R29">S9+T9</f>
        <v>430.7</v>
      </c>
      <c r="S9" s="503">
        <v>430.7</v>
      </c>
      <c r="T9" s="504">
        <f>Q9/3</f>
        <v>0</v>
      </c>
      <c r="U9" s="505">
        <f aca="true" t="shared" si="4" ref="U9:U29">V9+W9</f>
        <v>492</v>
      </c>
      <c r="V9" s="499">
        <f>246*2</f>
        <v>492</v>
      </c>
      <c r="W9" s="506"/>
      <c r="X9" s="507">
        <f aca="true" t="shared" si="5" ref="X9:X29">Y9+Z9</f>
        <v>330</v>
      </c>
      <c r="Y9" s="508">
        <f>(21+56+49+(6+60)+(1+37)+(3+40)+(1+21)+(6+29))</f>
        <v>330</v>
      </c>
      <c r="Z9" s="509"/>
      <c r="AA9" s="510">
        <f aca="true" t="shared" si="6" ref="AA9:AA29">AB9+AC9</f>
        <v>420</v>
      </c>
      <c r="AB9" s="508">
        <v>420</v>
      </c>
      <c r="AC9" s="509"/>
      <c r="AD9" s="510">
        <f aca="true" t="shared" si="7" ref="AD9:AD29">AE9+AF9</f>
        <v>346</v>
      </c>
      <c r="AE9" s="508">
        <v>346</v>
      </c>
      <c r="AF9" s="511"/>
      <c r="AG9" s="512">
        <f aca="true" t="shared" si="8" ref="AG9:AG29">AH9+AI9</f>
        <v>461.3333333333333</v>
      </c>
      <c r="AH9" s="446">
        <f aca="true" t="shared" si="9" ref="AH9:AH29">AE9/9*12</f>
        <v>461.3333333333333</v>
      </c>
      <c r="AI9" s="447">
        <f aca="true" t="shared" si="10" ref="AI9:AI29">AF9/9*12</f>
        <v>0</v>
      </c>
      <c r="AJ9" s="513"/>
      <c r="AK9" s="447"/>
      <c r="AL9" s="501"/>
    </row>
    <row r="10" spans="2:38" ht="19.5" customHeight="1">
      <c r="B10" s="616" t="s">
        <v>158</v>
      </c>
      <c r="C10" s="612">
        <f aca="true" t="shared" si="11" ref="C10:C24">D10+E10</f>
        <v>0</v>
      </c>
      <c r="D10" s="341"/>
      <c r="E10" s="342"/>
      <c r="F10" s="611">
        <f aca="true" t="shared" si="12" ref="F10:F24">G10+H10</f>
        <v>100</v>
      </c>
      <c r="G10" s="341"/>
      <c r="H10" s="342">
        <v>100</v>
      </c>
      <c r="I10" s="915">
        <f>J10+K10</f>
        <v>100</v>
      </c>
      <c r="J10" s="617">
        <f aca="true" t="shared" si="13" ref="J10:K23">D10+G10</f>
        <v>0</v>
      </c>
      <c r="K10" s="618">
        <f t="shared" si="13"/>
        <v>100</v>
      </c>
      <c r="O10" s="517">
        <f t="shared" si="0"/>
        <v>0</v>
      </c>
      <c r="P10" s="449">
        <f t="shared" si="1"/>
        <v>0</v>
      </c>
      <c r="Q10" s="451">
        <f t="shared" si="2"/>
        <v>0</v>
      </c>
      <c r="R10" s="518">
        <f t="shared" si="3"/>
        <v>70</v>
      </c>
      <c r="S10" s="519">
        <v>60</v>
      </c>
      <c r="T10" s="520">
        <v>10</v>
      </c>
      <c r="U10" s="521">
        <f t="shared" si="4"/>
        <v>50</v>
      </c>
      <c r="V10" s="515">
        <f>25*2</f>
        <v>50</v>
      </c>
      <c r="W10" s="522"/>
      <c r="X10" s="507">
        <f t="shared" si="5"/>
        <v>84</v>
      </c>
      <c r="Y10" s="523">
        <v>84</v>
      </c>
      <c r="Z10" s="524"/>
      <c r="AA10" s="525">
        <f t="shared" si="6"/>
        <v>57</v>
      </c>
      <c r="AB10" s="523">
        <v>57</v>
      </c>
      <c r="AC10" s="524"/>
      <c r="AD10" s="525">
        <f t="shared" si="7"/>
        <v>43</v>
      </c>
      <c r="AE10" s="523">
        <v>43</v>
      </c>
      <c r="AF10" s="526"/>
      <c r="AG10" s="527">
        <f t="shared" si="8"/>
        <v>57.33333333333333</v>
      </c>
      <c r="AH10" s="449">
        <f t="shared" si="9"/>
        <v>57.33333333333333</v>
      </c>
      <c r="AI10" s="450">
        <f t="shared" si="10"/>
        <v>0</v>
      </c>
      <c r="AJ10" s="528"/>
      <c r="AK10" s="450"/>
      <c r="AL10" s="451"/>
    </row>
    <row r="11" spans="2:38" ht="19.5" customHeight="1">
      <c r="B11" s="619" t="s">
        <v>159</v>
      </c>
      <c r="C11" s="612">
        <f t="shared" si="11"/>
        <v>10</v>
      </c>
      <c r="D11" s="341">
        <f>8+2</f>
        <v>10</v>
      </c>
      <c r="E11" s="342"/>
      <c r="F11" s="611">
        <f t="shared" si="12"/>
        <v>534</v>
      </c>
      <c r="G11" s="341">
        <f>530+4</f>
        <v>534</v>
      </c>
      <c r="H11" s="342"/>
      <c r="I11" s="915">
        <f aca="true" t="shared" si="14" ref="I11:I23">J11+K11</f>
        <v>544</v>
      </c>
      <c r="J11" s="617">
        <f t="shared" si="13"/>
        <v>544</v>
      </c>
      <c r="K11" s="618">
        <f t="shared" si="13"/>
        <v>0</v>
      </c>
      <c r="O11" s="517">
        <f t="shared" si="0"/>
        <v>0</v>
      </c>
      <c r="P11" s="449">
        <f t="shared" si="1"/>
        <v>0</v>
      </c>
      <c r="Q11" s="451">
        <f t="shared" si="2"/>
        <v>0</v>
      </c>
      <c r="R11" s="518">
        <f t="shared" si="3"/>
        <v>65.2</v>
      </c>
      <c r="S11" s="519">
        <v>65.2</v>
      </c>
      <c r="T11" s="520">
        <f>Q11/3</f>
        <v>0</v>
      </c>
      <c r="U11" s="521">
        <f t="shared" si="4"/>
        <v>52</v>
      </c>
      <c r="V11" s="515">
        <f>26*2</f>
        <v>52</v>
      </c>
      <c r="W11" s="522"/>
      <c r="X11" s="507">
        <f t="shared" si="5"/>
        <v>31.5</v>
      </c>
      <c r="Y11" s="523">
        <v>31.5</v>
      </c>
      <c r="Z11" s="524"/>
      <c r="AA11" s="525">
        <f t="shared" si="6"/>
        <v>30</v>
      </c>
      <c r="AB11" s="523">
        <v>30</v>
      </c>
      <c r="AC11" s="524"/>
      <c r="AD11" s="525">
        <f t="shared" si="7"/>
        <v>0</v>
      </c>
      <c r="AE11" s="523">
        <v>0</v>
      </c>
      <c r="AF11" s="526"/>
      <c r="AG11" s="527">
        <f t="shared" si="8"/>
        <v>0</v>
      </c>
      <c r="AH11" s="449">
        <f t="shared" si="9"/>
        <v>0</v>
      </c>
      <c r="AI11" s="450">
        <f t="shared" si="10"/>
        <v>0</v>
      </c>
      <c r="AJ11" s="528"/>
      <c r="AK11" s="450"/>
      <c r="AL11" s="451"/>
    </row>
    <row r="12" spans="2:38" ht="19.5" customHeight="1">
      <c r="B12" s="619" t="s">
        <v>163</v>
      </c>
      <c r="C12" s="612">
        <f t="shared" si="11"/>
        <v>35</v>
      </c>
      <c r="D12" s="341">
        <v>35</v>
      </c>
      <c r="E12" s="342"/>
      <c r="F12" s="611">
        <f t="shared" si="12"/>
        <v>900</v>
      </c>
      <c r="G12" s="341">
        <v>850</v>
      </c>
      <c r="H12" s="342">
        <v>50</v>
      </c>
      <c r="I12" s="915">
        <f t="shared" si="14"/>
        <v>935</v>
      </c>
      <c r="J12" s="617">
        <f t="shared" si="13"/>
        <v>885</v>
      </c>
      <c r="K12" s="618">
        <f t="shared" si="13"/>
        <v>50</v>
      </c>
      <c r="O12" s="517">
        <f t="shared" si="0"/>
        <v>0</v>
      </c>
      <c r="P12" s="449">
        <f t="shared" si="1"/>
        <v>0</v>
      </c>
      <c r="Q12" s="451">
        <f t="shared" si="2"/>
        <v>0</v>
      </c>
      <c r="R12" s="518">
        <f t="shared" si="3"/>
        <v>50</v>
      </c>
      <c r="S12" s="519">
        <v>45</v>
      </c>
      <c r="T12" s="520">
        <v>5</v>
      </c>
      <c r="U12" s="521">
        <f t="shared" si="4"/>
        <v>20</v>
      </c>
      <c r="V12" s="515">
        <f>10*2</f>
        <v>20</v>
      </c>
      <c r="W12" s="522"/>
      <c r="X12" s="507">
        <f t="shared" si="5"/>
        <v>31.5</v>
      </c>
      <c r="Y12" s="523">
        <v>31.5</v>
      </c>
      <c r="Z12" s="524"/>
      <c r="AA12" s="525">
        <f t="shared" si="6"/>
        <v>30</v>
      </c>
      <c r="AB12" s="523">
        <v>30</v>
      </c>
      <c r="AC12" s="524"/>
      <c r="AD12" s="525">
        <f t="shared" si="7"/>
        <v>37</v>
      </c>
      <c r="AE12" s="523">
        <v>37</v>
      </c>
      <c r="AF12" s="526"/>
      <c r="AG12" s="527">
        <f t="shared" si="8"/>
        <v>49.33333333333333</v>
      </c>
      <c r="AH12" s="449">
        <f t="shared" si="9"/>
        <v>49.33333333333333</v>
      </c>
      <c r="AI12" s="450">
        <f t="shared" si="10"/>
        <v>0</v>
      </c>
      <c r="AJ12" s="528"/>
      <c r="AK12" s="450"/>
      <c r="AL12" s="451"/>
    </row>
    <row r="13" spans="2:38" ht="19.5" customHeight="1">
      <c r="B13" s="619" t="s">
        <v>165</v>
      </c>
      <c r="C13" s="612">
        <f t="shared" si="11"/>
        <v>4</v>
      </c>
      <c r="D13" s="341">
        <f>2+2</f>
        <v>4</v>
      </c>
      <c r="E13" s="342"/>
      <c r="F13" s="611">
        <f t="shared" si="12"/>
        <v>59</v>
      </c>
      <c r="G13" s="341">
        <f>50-2</f>
        <v>48</v>
      </c>
      <c r="H13" s="342">
        <v>11</v>
      </c>
      <c r="I13" s="915">
        <f t="shared" si="14"/>
        <v>63</v>
      </c>
      <c r="J13" s="617">
        <f t="shared" si="13"/>
        <v>52</v>
      </c>
      <c r="K13" s="618">
        <f t="shared" si="13"/>
        <v>11</v>
      </c>
      <c r="O13" s="517">
        <f t="shared" si="0"/>
        <v>0</v>
      </c>
      <c r="P13" s="449">
        <f t="shared" si="1"/>
        <v>0</v>
      </c>
      <c r="Q13" s="451">
        <f t="shared" si="2"/>
        <v>0</v>
      </c>
      <c r="R13" s="518">
        <f t="shared" si="3"/>
        <v>500</v>
      </c>
      <c r="S13" s="519">
        <f>P13/3</f>
        <v>0</v>
      </c>
      <c r="T13" s="520">
        <v>500</v>
      </c>
      <c r="U13" s="521">
        <f t="shared" si="4"/>
        <v>610</v>
      </c>
      <c r="V13" s="515"/>
      <c r="W13" s="522">
        <f>305*2</f>
        <v>610</v>
      </c>
      <c r="X13" s="507">
        <f t="shared" si="5"/>
        <v>388.5</v>
      </c>
      <c r="Y13" s="523"/>
      <c r="Z13" s="524">
        <v>388.5</v>
      </c>
      <c r="AA13" s="525">
        <f t="shared" si="6"/>
        <v>480</v>
      </c>
      <c r="AB13" s="523"/>
      <c r="AC13" s="524">
        <v>480</v>
      </c>
      <c r="AD13" s="525">
        <f t="shared" si="7"/>
        <v>178</v>
      </c>
      <c r="AE13" s="523"/>
      <c r="AF13" s="526">
        <v>178</v>
      </c>
      <c r="AG13" s="527">
        <f t="shared" si="8"/>
        <v>237.33333333333334</v>
      </c>
      <c r="AH13" s="449">
        <f t="shared" si="9"/>
        <v>0</v>
      </c>
      <c r="AI13" s="450">
        <f t="shared" si="10"/>
        <v>237.33333333333334</v>
      </c>
      <c r="AJ13" s="528"/>
      <c r="AK13" s="450"/>
      <c r="AL13" s="451"/>
    </row>
    <row r="14" spans="2:38" ht="19.5" customHeight="1">
      <c r="B14" s="619" t="s">
        <v>220</v>
      </c>
      <c r="C14" s="612">
        <f t="shared" si="11"/>
        <v>0</v>
      </c>
      <c r="D14" s="341"/>
      <c r="E14" s="342"/>
      <c r="F14" s="611">
        <f t="shared" si="12"/>
        <v>30</v>
      </c>
      <c r="G14" s="341">
        <v>30</v>
      </c>
      <c r="H14" s="342"/>
      <c r="I14" s="915">
        <f t="shared" si="14"/>
        <v>30</v>
      </c>
      <c r="J14" s="617">
        <f t="shared" si="13"/>
        <v>30</v>
      </c>
      <c r="K14" s="618">
        <f t="shared" si="13"/>
        <v>0</v>
      </c>
      <c r="O14" s="517">
        <f t="shared" si="0"/>
        <v>0</v>
      </c>
      <c r="P14" s="449">
        <f t="shared" si="1"/>
        <v>0</v>
      </c>
      <c r="Q14" s="451">
        <f t="shared" si="2"/>
        <v>0</v>
      </c>
      <c r="R14" s="518">
        <f t="shared" si="3"/>
        <v>568.1</v>
      </c>
      <c r="S14" s="519">
        <v>568.1</v>
      </c>
      <c r="T14" s="520">
        <f>Q14/3</f>
        <v>0</v>
      </c>
      <c r="U14" s="521">
        <f t="shared" si="4"/>
        <v>412</v>
      </c>
      <c r="V14" s="515">
        <f>206*2</f>
        <v>412</v>
      </c>
      <c r="W14" s="522"/>
      <c r="X14" s="507">
        <f t="shared" si="5"/>
        <v>444</v>
      </c>
      <c r="Y14" s="523">
        <v>444</v>
      </c>
      <c r="Z14" s="524"/>
      <c r="AA14" s="525">
        <f t="shared" si="6"/>
        <v>480</v>
      </c>
      <c r="AB14" s="523">
        <v>480</v>
      </c>
      <c r="AC14" s="524"/>
      <c r="AD14" s="525">
        <f t="shared" si="7"/>
        <v>309</v>
      </c>
      <c r="AE14" s="523">
        <v>309</v>
      </c>
      <c r="AF14" s="526"/>
      <c r="AG14" s="527">
        <f t="shared" si="8"/>
        <v>412</v>
      </c>
      <c r="AH14" s="449">
        <f t="shared" si="9"/>
        <v>412</v>
      </c>
      <c r="AI14" s="450">
        <f t="shared" si="10"/>
        <v>0</v>
      </c>
      <c r="AJ14" s="528"/>
      <c r="AK14" s="450"/>
      <c r="AL14" s="451"/>
    </row>
    <row r="15" spans="2:38" ht="19.5" customHeight="1">
      <c r="B15" s="619" t="s">
        <v>166</v>
      </c>
      <c r="C15" s="612">
        <f t="shared" si="11"/>
        <v>0</v>
      </c>
      <c r="D15" s="341"/>
      <c r="E15" s="342"/>
      <c r="F15" s="611">
        <f t="shared" si="12"/>
        <v>23</v>
      </c>
      <c r="G15" s="341">
        <v>23</v>
      </c>
      <c r="H15" s="342"/>
      <c r="I15" s="915">
        <f t="shared" si="14"/>
        <v>23</v>
      </c>
      <c r="J15" s="617">
        <f t="shared" si="13"/>
        <v>23</v>
      </c>
      <c r="K15" s="618">
        <f t="shared" si="13"/>
        <v>0</v>
      </c>
      <c r="O15" s="517">
        <f t="shared" si="0"/>
        <v>0</v>
      </c>
      <c r="P15" s="449">
        <f t="shared" si="1"/>
        <v>0</v>
      </c>
      <c r="Q15" s="451">
        <f t="shared" si="2"/>
        <v>0</v>
      </c>
      <c r="R15" s="518">
        <f t="shared" si="3"/>
        <v>135.3</v>
      </c>
      <c r="S15" s="519">
        <f>P15/3</f>
        <v>0</v>
      </c>
      <c r="T15" s="520">
        <v>135.3</v>
      </c>
      <c r="U15" s="521">
        <f t="shared" si="4"/>
        <v>102</v>
      </c>
      <c r="V15" s="515"/>
      <c r="W15" s="522">
        <f>51*2</f>
        <v>102</v>
      </c>
      <c r="X15" s="507">
        <f t="shared" si="5"/>
        <v>88.5</v>
      </c>
      <c r="Y15" s="523"/>
      <c r="Z15" s="524">
        <v>88.5</v>
      </c>
      <c r="AA15" s="525">
        <f t="shared" si="6"/>
        <v>111</v>
      </c>
      <c r="AB15" s="523"/>
      <c r="AC15" s="524">
        <v>111</v>
      </c>
      <c r="AD15" s="525">
        <f t="shared" si="7"/>
        <v>57</v>
      </c>
      <c r="AE15" s="523"/>
      <c r="AF15" s="526">
        <v>57</v>
      </c>
      <c r="AG15" s="527">
        <f t="shared" si="8"/>
        <v>76</v>
      </c>
      <c r="AH15" s="449">
        <f t="shared" si="9"/>
        <v>0</v>
      </c>
      <c r="AI15" s="450">
        <f t="shared" si="10"/>
        <v>76</v>
      </c>
      <c r="AJ15" s="528"/>
      <c r="AK15" s="450"/>
      <c r="AL15" s="451"/>
    </row>
    <row r="16" spans="2:38" ht="19.5" customHeight="1">
      <c r="B16" s="619" t="s">
        <v>212</v>
      </c>
      <c r="C16" s="612">
        <f t="shared" si="11"/>
        <v>35</v>
      </c>
      <c r="D16" s="341">
        <f>24+11</f>
        <v>35</v>
      </c>
      <c r="E16" s="342"/>
      <c r="F16" s="611">
        <f t="shared" si="12"/>
        <v>364</v>
      </c>
      <c r="G16" s="341">
        <f>375-11</f>
        <v>364</v>
      </c>
      <c r="H16" s="342"/>
      <c r="I16" s="915">
        <f t="shared" si="14"/>
        <v>399</v>
      </c>
      <c r="J16" s="617">
        <f t="shared" si="13"/>
        <v>399</v>
      </c>
      <c r="K16" s="618">
        <f t="shared" si="13"/>
        <v>0</v>
      </c>
      <c r="O16" s="529">
        <f t="shared" si="0"/>
        <v>0</v>
      </c>
      <c r="P16" s="530">
        <f t="shared" si="1"/>
        <v>0</v>
      </c>
      <c r="Q16" s="531">
        <f t="shared" si="2"/>
        <v>0</v>
      </c>
      <c r="R16" s="532">
        <f t="shared" si="3"/>
        <v>243.7</v>
      </c>
      <c r="S16" s="533">
        <v>243.7</v>
      </c>
      <c r="T16" s="534">
        <f>Q16/3</f>
        <v>0</v>
      </c>
      <c r="U16" s="521">
        <f t="shared" si="4"/>
        <v>280</v>
      </c>
      <c r="V16" s="515">
        <f>140*2</f>
        <v>280</v>
      </c>
      <c r="W16" s="522"/>
      <c r="X16" s="507">
        <f t="shared" si="5"/>
        <v>256.5</v>
      </c>
      <c r="Y16" s="523">
        <v>253.5</v>
      </c>
      <c r="Z16" s="524">
        <v>3</v>
      </c>
      <c r="AA16" s="525">
        <f t="shared" si="6"/>
        <v>250</v>
      </c>
      <c r="AB16" s="523">
        <v>250</v>
      </c>
      <c r="AC16" s="524"/>
      <c r="AD16" s="525">
        <f t="shared" si="7"/>
        <v>185</v>
      </c>
      <c r="AE16" s="523">
        <v>185</v>
      </c>
      <c r="AF16" s="526"/>
      <c r="AG16" s="527">
        <f t="shared" si="8"/>
        <v>246.66666666666669</v>
      </c>
      <c r="AH16" s="449">
        <f t="shared" si="9"/>
        <v>246.66666666666669</v>
      </c>
      <c r="AI16" s="450">
        <f t="shared" si="10"/>
        <v>0</v>
      </c>
      <c r="AJ16" s="528"/>
      <c r="AK16" s="450"/>
      <c r="AL16" s="451"/>
    </row>
    <row r="17" spans="2:38" ht="30" customHeight="1">
      <c r="B17" s="619" t="s">
        <v>328</v>
      </c>
      <c r="C17" s="612">
        <f t="shared" si="11"/>
        <v>0</v>
      </c>
      <c r="D17" s="341"/>
      <c r="E17" s="342"/>
      <c r="F17" s="611">
        <f t="shared" si="12"/>
        <v>313</v>
      </c>
      <c r="G17" s="341">
        <f>275+45-7</f>
        <v>313</v>
      </c>
      <c r="H17" s="342"/>
      <c r="I17" s="916">
        <f t="shared" si="14"/>
        <v>313</v>
      </c>
      <c r="J17" s="617">
        <f t="shared" si="13"/>
        <v>313</v>
      </c>
      <c r="K17" s="618">
        <f t="shared" si="13"/>
        <v>0</v>
      </c>
      <c r="O17" s="517">
        <f t="shared" si="0"/>
        <v>0</v>
      </c>
      <c r="P17" s="449">
        <f t="shared" si="1"/>
        <v>0</v>
      </c>
      <c r="Q17" s="451">
        <f t="shared" si="2"/>
        <v>0</v>
      </c>
      <c r="R17" s="518">
        <f t="shared" si="3"/>
        <v>134</v>
      </c>
      <c r="S17" s="519">
        <v>134</v>
      </c>
      <c r="T17" s="520">
        <f>Q17/3</f>
        <v>0</v>
      </c>
      <c r="U17" s="521">
        <f t="shared" si="4"/>
        <v>196</v>
      </c>
      <c r="V17" s="515">
        <f>98*2</f>
        <v>196</v>
      </c>
      <c r="W17" s="522"/>
      <c r="X17" s="507">
        <f t="shared" si="5"/>
        <v>159</v>
      </c>
      <c r="Y17" s="523">
        <v>159</v>
      </c>
      <c r="Z17" s="524"/>
      <c r="AA17" s="525">
        <f t="shared" si="6"/>
        <v>141</v>
      </c>
      <c r="AB17" s="523">
        <v>141</v>
      </c>
      <c r="AC17" s="524"/>
      <c r="AD17" s="525">
        <f t="shared" si="7"/>
        <v>95</v>
      </c>
      <c r="AE17" s="523">
        <v>95</v>
      </c>
      <c r="AF17" s="526"/>
      <c r="AG17" s="527">
        <f t="shared" si="8"/>
        <v>126.66666666666666</v>
      </c>
      <c r="AH17" s="449">
        <f t="shared" si="9"/>
        <v>126.66666666666666</v>
      </c>
      <c r="AI17" s="450">
        <f t="shared" si="10"/>
        <v>0</v>
      </c>
      <c r="AJ17" s="528"/>
      <c r="AK17" s="450"/>
      <c r="AL17" s="451"/>
    </row>
    <row r="18" spans="2:38" ht="19.5" customHeight="1">
      <c r="B18" s="619" t="s">
        <v>186</v>
      </c>
      <c r="C18" s="612">
        <f t="shared" si="11"/>
        <v>6</v>
      </c>
      <c r="D18" s="341">
        <f>6</f>
        <v>6</v>
      </c>
      <c r="E18" s="342"/>
      <c r="F18" s="611">
        <f t="shared" si="12"/>
        <v>25</v>
      </c>
      <c r="G18" s="341">
        <v>19</v>
      </c>
      <c r="H18" s="342">
        <v>6</v>
      </c>
      <c r="I18" s="915">
        <f t="shared" si="14"/>
        <v>31</v>
      </c>
      <c r="J18" s="617">
        <f t="shared" si="13"/>
        <v>25</v>
      </c>
      <c r="K18" s="618">
        <f t="shared" si="13"/>
        <v>6</v>
      </c>
      <c r="O18" s="517">
        <f t="shared" si="0"/>
        <v>0</v>
      </c>
      <c r="P18" s="449">
        <f aca="true" t="shared" si="15" ref="P18:P29">M18/3</f>
        <v>0</v>
      </c>
      <c r="Q18" s="451">
        <f>N18/1</f>
        <v>0</v>
      </c>
      <c r="R18" s="518">
        <f t="shared" si="3"/>
        <v>74.7</v>
      </c>
      <c r="S18" s="519">
        <v>61</v>
      </c>
      <c r="T18" s="520">
        <v>13.7</v>
      </c>
      <c r="U18" s="521">
        <f t="shared" si="4"/>
        <v>96</v>
      </c>
      <c r="V18" s="515">
        <f>45*2</f>
        <v>90</v>
      </c>
      <c r="W18" s="522">
        <f>3*2</f>
        <v>6</v>
      </c>
      <c r="X18" s="507">
        <f t="shared" si="5"/>
        <v>106.5</v>
      </c>
      <c r="Y18" s="523">
        <v>97.5</v>
      </c>
      <c r="Z18" s="524">
        <v>9</v>
      </c>
      <c r="AA18" s="525">
        <f t="shared" si="6"/>
        <v>96</v>
      </c>
      <c r="AB18" s="523">
        <v>87</v>
      </c>
      <c r="AC18" s="524">
        <v>9</v>
      </c>
      <c r="AD18" s="525">
        <f t="shared" si="7"/>
        <v>90</v>
      </c>
      <c r="AE18" s="523">
        <v>75</v>
      </c>
      <c r="AF18" s="526">
        <v>15</v>
      </c>
      <c r="AG18" s="527">
        <f t="shared" si="8"/>
        <v>120</v>
      </c>
      <c r="AH18" s="449">
        <f t="shared" si="9"/>
        <v>100</v>
      </c>
      <c r="AI18" s="450">
        <f t="shared" si="10"/>
        <v>20</v>
      </c>
      <c r="AJ18" s="528"/>
      <c r="AK18" s="450"/>
      <c r="AL18" s="451"/>
    </row>
    <row r="19" spans="2:38" ht="19.5" customHeight="1">
      <c r="B19" s="619" t="s">
        <v>171</v>
      </c>
      <c r="C19" s="612">
        <f t="shared" si="11"/>
        <v>0</v>
      </c>
      <c r="D19" s="341"/>
      <c r="E19" s="342"/>
      <c r="F19" s="611"/>
      <c r="G19" s="341"/>
      <c r="H19" s="342"/>
      <c r="I19" s="915"/>
      <c r="J19" s="617"/>
      <c r="K19" s="618"/>
      <c r="O19" s="529">
        <f t="shared" si="0"/>
        <v>0</v>
      </c>
      <c r="P19" s="530">
        <f t="shared" si="15"/>
        <v>0</v>
      </c>
      <c r="Q19" s="531">
        <f>N19/1</f>
        <v>0</v>
      </c>
      <c r="R19" s="532">
        <f t="shared" si="3"/>
        <v>308.59999999999997</v>
      </c>
      <c r="S19" s="533">
        <v>265.4</v>
      </c>
      <c r="T19" s="534">
        <v>43.2</v>
      </c>
      <c r="U19" s="521">
        <f t="shared" si="4"/>
        <v>178</v>
      </c>
      <c r="V19" s="515">
        <f>54*2</f>
        <v>108</v>
      </c>
      <c r="W19" s="522">
        <f>35*2</f>
        <v>70</v>
      </c>
      <c r="X19" s="507">
        <f t="shared" si="5"/>
        <v>163.5</v>
      </c>
      <c r="Y19" s="523">
        <v>100.5</v>
      </c>
      <c r="Z19" s="524">
        <v>63</v>
      </c>
      <c r="AA19" s="525">
        <f t="shared" si="6"/>
        <v>93</v>
      </c>
      <c r="AB19" s="523">
        <v>50</v>
      </c>
      <c r="AC19" s="524">
        <v>43</v>
      </c>
      <c r="AD19" s="525">
        <f t="shared" si="7"/>
        <v>50</v>
      </c>
      <c r="AE19" s="523">
        <v>31</v>
      </c>
      <c r="AF19" s="526">
        <v>19</v>
      </c>
      <c r="AG19" s="527">
        <f t="shared" si="8"/>
        <v>66.66666666666667</v>
      </c>
      <c r="AH19" s="449">
        <f t="shared" si="9"/>
        <v>41.333333333333336</v>
      </c>
      <c r="AI19" s="450">
        <f t="shared" si="10"/>
        <v>25.333333333333336</v>
      </c>
      <c r="AJ19" s="528"/>
      <c r="AK19" s="450"/>
      <c r="AL19" s="451"/>
    </row>
    <row r="20" spans="2:38" ht="19.5" customHeight="1">
      <c r="B20" s="619" t="s">
        <v>172</v>
      </c>
      <c r="C20" s="612">
        <f t="shared" si="11"/>
        <v>2</v>
      </c>
      <c r="D20" s="341">
        <f>4-2</f>
        <v>2</v>
      </c>
      <c r="E20" s="342"/>
      <c r="F20" s="611">
        <f t="shared" si="12"/>
        <v>82</v>
      </c>
      <c r="G20" s="341">
        <f>80+2</f>
        <v>82</v>
      </c>
      <c r="H20" s="342"/>
      <c r="I20" s="915">
        <f t="shared" si="14"/>
        <v>84</v>
      </c>
      <c r="J20" s="617">
        <f t="shared" si="13"/>
        <v>84</v>
      </c>
      <c r="K20" s="618">
        <f t="shared" si="13"/>
        <v>0</v>
      </c>
      <c r="O20" s="529">
        <f t="shared" si="0"/>
        <v>0</v>
      </c>
      <c r="P20" s="530">
        <f t="shared" si="15"/>
        <v>0</v>
      </c>
      <c r="Q20" s="531">
        <f>N20/3</f>
        <v>0</v>
      </c>
      <c r="R20" s="532">
        <f t="shared" si="3"/>
        <v>49.6</v>
      </c>
      <c r="S20" s="533">
        <v>49.6</v>
      </c>
      <c r="T20" s="534">
        <f>Q20/3</f>
        <v>0</v>
      </c>
      <c r="U20" s="521">
        <f t="shared" si="4"/>
        <v>64</v>
      </c>
      <c r="V20" s="515">
        <f>32*2</f>
        <v>64</v>
      </c>
      <c r="W20" s="522"/>
      <c r="X20" s="507">
        <f t="shared" si="5"/>
        <v>48</v>
      </c>
      <c r="Y20" s="523">
        <v>48</v>
      </c>
      <c r="Z20" s="524"/>
      <c r="AA20" s="525">
        <f t="shared" si="6"/>
        <v>50</v>
      </c>
      <c r="AB20" s="523">
        <v>50</v>
      </c>
      <c r="AC20" s="524"/>
      <c r="AD20" s="525">
        <f t="shared" si="7"/>
        <v>39</v>
      </c>
      <c r="AE20" s="523">
        <v>39</v>
      </c>
      <c r="AF20" s="526"/>
      <c r="AG20" s="527">
        <f t="shared" si="8"/>
        <v>52</v>
      </c>
      <c r="AH20" s="449">
        <f t="shared" si="9"/>
        <v>52</v>
      </c>
      <c r="AI20" s="450">
        <f t="shared" si="10"/>
        <v>0</v>
      </c>
      <c r="AJ20" s="528"/>
      <c r="AK20" s="450"/>
      <c r="AL20" s="451"/>
    </row>
    <row r="21" spans="2:38" ht="19.5" customHeight="1">
      <c r="B21" s="619" t="s">
        <v>168</v>
      </c>
      <c r="C21" s="612">
        <f t="shared" si="11"/>
        <v>0</v>
      </c>
      <c r="D21" s="341"/>
      <c r="E21" s="342"/>
      <c r="F21" s="611">
        <f t="shared" si="12"/>
        <v>15</v>
      </c>
      <c r="G21" s="341">
        <v>15</v>
      </c>
      <c r="H21" s="342"/>
      <c r="I21" s="915">
        <f t="shared" si="14"/>
        <v>15</v>
      </c>
      <c r="J21" s="617">
        <f t="shared" si="13"/>
        <v>15</v>
      </c>
      <c r="K21" s="618">
        <f t="shared" si="13"/>
        <v>0</v>
      </c>
      <c r="O21" s="517">
        <f t="shared" si="0"/>
        <v>0</v>
      </c>
      <c r="P21" s="449">
        <f t="shared" si="15"/>
        <v>0</v>
      </c>
      <c r="Q21" s="451">
        <f>N21/3</f>
        <v>0</v>
      </c>
      <c r="R21" s="518">
        <f t="shared" si="3"/>
        <v>699.2</v>
      </c>
      <c r="S21" s="519">
        <v>699.2</v>
      </c>
      <c r="T21" s="520">
        <f>Q21/3</f>
        <v>0</v>
      </c>
      <c r="U21" s="521">
        <f t="shared" si="4"/>
        <v>834</v>
      </c>
      <c r="V21" s="515">
        <f>417*2</f>
        <v>834</v>
      </c>
      <c r="W21" s="522"/>
      <c r="X21" s="507">
        <f t="shared" si="5"/>
        <v>504</v>
      </c>
      <c r="Y21" s="523">
        <v>504</v>
      </c>
      <c r="Z21" s="524"/>
      <c r="AA21" s="525">
        <f t="shared" si="6"/>
        <v>630</v>
      </c>
      <c r="AB21" s="523">
        <v>630</v>
      </c>
      <c r="AC21" s="524"/>
      <c r="AD21" s="525">
        <f t="shared" si="7"/>
        <v>334</v>
      </c>
      <c r="AE21" s="523">
        <v>334</v>
      </c>
      <c r="AF21" s="526"/>
      <c r="AG21" s="527">
        <f t="shared" si="8"/>
        <v>445.33333333333337</v>
      </c>
      <c r="AH21" s="449">
        <f t="shared" si="9"/>
        <v>445.33333333333337</v>
      </c>
      <c r="AI21" s="450">
        <f t="shared" si="10"/>
        <v>0</v>
      </c>
      <c r="AJ21" s="528"/>
      <c r="AK21" s="450"/>
      <c r="AL21" s="451"/>
    </row>
    <row r="22" spans="2:38" ht="19.5" customHeight="1">
      <c r="B22" s="619" t="s">
        <v>221</v>
      </c>
      <c r="C22" s="612">
        <f t="shared" si="11"/>
        <v>0</v>
      </c>
      <c r="D22" s="341"/>
      <c r="E22" s="342"/>
      <c r="F22" s="611">
        <f t="shared" si="12"/>
        <v>42</v>
      </c>
      <c r="G22" s="341">
        <f>84-49+7</f>
        <v>42</v>
      </c>
      <c r="H22" s="342"/>
      <c r="I22" s="915">
        <f t="shared" si="14"/>
        <v>42</v>
      </c>
      <c r="J22" s="617">
        <f t="shared" si="13"/>
        <v>42</v>
      </c>
      <c r="K22" s="618">
        <f t="shared" si="13"/>
        <v>0</v>
      </c>
      <c r="O22" s="517">
        <f t="shared" si="0"/>
        <v>0</v>
      </c>
      <c r="P22" s="449">
        <f t="shared" si="15"/>
        <v>0</v>
      </c>
      <c r="Q22" s="451">
        <f>N22/1</f>
        <v>0</v>
      </c>
      <c r="R22" s="518">
        <f t="shared" si="3"/>
        <v>308.5</v>
      </c>
      <c r="S22" s="519">
        <v>184.2</v>
      </c>
      <c r="T22" s="520">
        <v>124.3</v>
      </c>
      <c r="U22" s="521">
        <f t="shared" si="4"/>
        <v>288</v>
      </c>
      <c r="V22" s="515">
        <f>96*2</f>
        <v>192</v>
      </c>
      <c r="W22" s="522">
        <f>48*2</f>
        <v>96</v>
      </c>
      <c r="X22" s="507">
        <f t="shared" si="5"/>
        <v>253.5</v>
      </c>
      <c r="Y22" s="523">
        <v>171</v>
      </c>
      <c r="Z22" s="524">
        <v>82.5</v>
      </c>
      <c r="AA22" s="525">
        <f t="shared" si="6"/>
        <v>315</v>
      </c>
      <c r="AB22" s="523">
        <v>235</v>
      </c>
      <c r="AC22" s="524">
        <v>80</v>
      </c>
      <c r="AD22" s="525">
        <f t="shared" si="7"/>
        <v>185</v>
      </c>
      <c r="AE22" s="523">
        <v>123</v>
      </c>
      <c r="AF22" s="526">
        <v>62</v>
      </c>
      <c r="AG22" s="527">
        <f t="shared" si="8"/>
        <v>246.66666666666669</v>
      </c>
      <c r="AH22" s="449">
        <f t="shared" si="9"/>
        <v>164</v>
      </c>
      <c r="AI22" s="450">
        <f t="shared" si="10"/>
        <v>82.66666666666667</v>
      </c>
      <c r="AJ22" s="528"/>
      <c r="AK22" s="450"/>
      <c r="AL22" s="451"/>
    </row>
    <row r="23" spans="2:38" ht="19.5" customHeight="1" thickBot="1">
      <c r="B23" s="620" t="s">
        <v>222</v>
      </c>
      <c r="C23" s="621">
        <f t="shared" si="11"/>
        <v>0</v>
      </c>
      <c r="D23" s="365">
        <f>2-2</f>
        <v>0</v>
      </c>
      <c r="E23" s="368"/>
      <c r="F23" s="622">
        <f t="shared" si="12"/>
        <v>7</v>
      </c>
      <c r="G23" s="365">
        <f>5+2</f>
        <v>7</v>
      </c>
      <c r="H23" s="368"/>
      <c r="I23" s="917">
        <f t="shared" si="14"/>
        <v>7</v>
      </c>
      <c r="J23" s="623">
        <f t="shared" si="13"/>
        <v>7</v>
      </c>
      <c r="K23" s="624">
        <f t="shared" si="13"/>
        <v>0</v>
      </c>
      <c r="O23" s="517">
        <f t="shared" si="0"/>
        <v>0</v>
      </c>
      <c r="P23" s="449">
        <f t="shared" si="15"/>
        <v>0</v>
      </c>
      <c r="Q23" s="451">
        <f>N23/1</f>
        <v>0</v>
      </c>
      <c r="R23" s="518">
        <f t="shared" si="3"/>
        <v>89.9</v>
      </c>
      <c r="S23" s="519">
        <v>73.7</v>
      </c>
      <c r="T23" s="520">
        <v>16.2</v>
      </c>
      <c r="U23" s="521">
        <f t="shared" si="4"/>
        <v>64</v>
      </c>
      <c r="V23" s="515">
        <f>31*2</f>
        <v>62</v>
      </c>
      <c r="W23" s="522">
        <f>1*2</f>
        <v>2</v>
      </c>
      <c r="X23" s="507">
        <f t="shared" si="5"/>
        <v>55.5</v>
      </c>
      <c r="Y23" s="523">
        <v>43.5</v>
      </c>
      <c r="Z23" s="524">
        <v>12</v>
      </c>
      <c r="AA23" s="525">
        <f t="shared" si="6"/>
        <v>77</v>
      </c>
      <c r="AB23" s="523">
        <v>67</v>
      </c>
      <c r="AC23" s="524">
        <v>10</v>
      </c>
      <c r="AD23" s="525">
        <f t="shared" si="7"/>
        <v>0</v>
      </c>
      <c r="AE23" s="523"/>
      <c r="AF23" s="526"/>
      <c r="AG23" s="527">
        <f t="shared" si="8"/>
        <v>0</v>
      </c>
      <c r="AH23" s="449">
        <f t="shared" si="9"/>
        <v>0</v>
      </c>
      <c r="AI23" s="450">
        <f t="shared" si="10"/>
        <v>0</v>
      </c>
      <c r="AJ23" s="528"/>
      <c r="AK23" s="450"/>
      <c r="AL23" s="451"/>
    </row>
    <row r="24" spans="2:38" ht="31.5" customHeight="1" thickBot="1">
      <c r="B24" s="625" t="s">
        <v>176</v>
      </c>
      <c r="C24" s="627">
        <f t="shared" si="11"/>
        <v>92</v>
      </c>
      <c r="D24" s="919">
        <f>SUM(D9:D23)</f>
        <v>92</v>
      </c>
      <c r="E24" s="626"/>
      <c r="F24" s="628">
        <f t="shared" si="12"/>
        <v>2494</v>
      </c>
      <c r="G24" s="919">
        <f>SUM(G9:G23)</f>
        <v>2327</v>
      </c>
      <c r="H24" s="920">
        <f>SUM(H10:H23)</f>
        <v>167</v>
      </c>
      <c r="I24" s="789">
        <f>SUM(I9:I23)</f>
        <v>2586</v>
      </c>
      <c r="J24" s="921">
        <f>SUM(J9:J23)</f>
        <v>2419</v>
      </c>
      <c r="K24" s="922">
        <f>SUM(K9:K23)</f>
        <v>167</v>
      </c>
      <c r="O24" s="517">
        <f t="shared" si="0"/>
        <v>0</v>
      </c>
      <c r="P24" s="449">
        <f t="shared" si="15"/>
        <v>0</v>
      </c>
      <c r="Q24" s="451">
        <f>N24/3</f>
        <v>0</v>
      </c>
      <c r="R24" s="518">
        <f t="shared" si="3"/>
        <v>333.3</v>
      </c>
      <c r="S24" s="519">
        <v>333.3</v>
      </c>
      <c r="T24" s="520">
        <f>Q24/3</f>
        <v>0</v>
      </c>
      <c r="U24" s="521">
        <f t="shared" si="4"/>
        <v>416</v>
      </c>
      <c r="V24" s="515">
        <f>208*2</f>
        <v>416</v>
      </c>
      <c r="W24" s="522"/>
      <c r="X24" s="507">
        <f t="shared" si="5"/>
        <v>438</v>
      </c>
      <c r="Y24" s="523">
        <v>436.5</v>
      </c>
      <c r="Z24" s="524">
        <v>1.5</v>
      </c>
      <c r="AA24" s="525">
        <f t="shared" si="6"/>
        <v>305</v>
      </c>
      <c r="AB24" s="523">
        <v>305</v>
      </c>
      <c r="AC24" s="524"/>
      <c r="AD24" s="525">
        <f t="shared" si="7"/>
        <v>289</v>
      </c>
      <c r="AE24" s="523">
        <v>289</v>
      </c>
      <c r="AF24" s="526"/>
      <c r="AG24" s="527">
        <f t="shared" si="8"/>
        <v>385.33333333333337</v>
      </c>
      <c r="AH24" s="449">
        <f t="shared" si="9"/>
        <v>385.33333333333337</v>
      </c>
      <c r="AI24" s="450">
        <f t="shared" si="10"/>
        <v>0</v>
      </c>
      <c r="AJ24" s="528"/>
      <c r="AK24" s="450"/>
      <c r="AL24" s="451"/>
    </row>
    <row r="25" spans="2:38" ht="26.25" customHeight="1" thickBot="1">
      <c r="B25" s="629" t="s">
        <v>187</v>
      </c>
      <c r="C25" s="632"/>
      <c r="D25" s="631"/>
      <c r="E25" s="631"/>
      <c r="F25" s="632"/>
      <c r="G25" s="631"/>
      <c r="H25" s="631"/>
      <c r="I25" s="378">
        <v>27</v>
      </c>
      <c r="J25" s="630"/>
      <c r="K25" s="633"/>
      <c r="O25" s="529">
        <f t="shared" si="0"/>
        <v>0</v>
      </c>
      <c r="P25" s="530">
        <f t="shared" si="15"/>
        <v>0</v>
      </c>
      <c r="Q25" s="531">
        <f>N25/3</f>
        <v>0</v>
      </c>
      <c r="R25" s="532">
        <f t="shared" si="3"/>
        <v>43.8</v>
      </c>
      <c r="S25" s="533">
        <v>43.8</v>
      </c>
      <c r="T25" s="534">
        <f>Q25/3</f>
        <v>0</v>
      </c>
      <c r="U25" s="521">
        <f t="shared" si="4"/>
        <v>32</v>
      </c>
      <c r="V25" s="515">
        <f>16*2</f>
        <v>32</v>
      </c>
      <c r="W25" s="522"/>
      <c r="X25" s="507">
        <f t="shared" si="5"/>
        <v>36</v>
      </c>
      <c r="Y25" s="523">
        <v>36</v>
      </c>
      <c r="Z25" s="524"/>
      <c r="AA25" s="525">
        <f t="shared" si="6"/>
        <v>42</v>
      </c>
      <c r="AB25" s="523">
        <v>42</v>
      </c>
      <c r="AC25" s="524"/>
      <c r="AD25" s="525">
        <f t="shared" si="7"/>
        <v>18</v>
      </c>
      <c r="AE25" s="523">
        <v>18</v>
      </c>
      <c r="AF25" s="526"/>
      <c r="AG25" s="527">
        <f t="shared" si="8"/>
        <v>24</v>
      </c>
      <c r="AH25" s="449">
        <f t="shared" si="9"/>
        <v>24</v>
      </c>
      <c r="AI25" s="450">
        <f t="shared" si="10"/>
        <v>0</v>
      </c>
      <c r="AJ25" s="528"/>
      <c r="AK25" s="450"/>
      <c r="AL25" s="451"/>
    </row>
    <row r="26" spans="2:38" ht="29.25" customHeight="1" thickBot="1">
      <c r="B26" s="634" t="s">
        <v>188</v>
      </c>
      <c r="C26" s="637"/>
      <c r="D26" s="636"/>
      <c r="E26" s="636"/>
      <c r="F26" s="637"/>
      <c r="G26" s="636"/>
      <c r="H26" s="636"/>
      <c r="I26" s="918">
        <f>I24+I25</f>
        <v>2613</v>
      </c>
      <c r="J26" s="635"/>
      <c r="K26" s="638"/>
      <c r="O26" s="517">
        <f t="shared" si="0"/>
        <v>0</v>
      </c>
      <c r="P26" s="449">
        <f t="shared" si="15"/>
        <v>0</v>
      </c>
      <c r="Q26" s="451">
        <f>N26/2</f>
        <v>0</v>
      </c>
      <c r="R26" s="518">
        <f t="shared" si="3"/>
        <v>1679.1</v>
      </c>
      <c r="S26" s="519">
        <v>239.1</v>
      </c>
      <c r="T26" s="520">
        <v>1440</v>
      </c>
      <c r="U26" s="521">
        <f t="shared" si="4"/>
        <v>2150</v>
      </c>
      <c r="V26" s="515">
        <f>146*2</f>
        <v>292</v>
      </c>
      <c r="W26" s="522">
        <f>929*2</f>
        <v>1858</v>
      </c>
      <c r="X26" s="507">
        <f t="shared" si="5"/>
        <v>1981.5</v>
      </c>
      <c r="Y26" s="523">
        <v>313.5</v>
      </c>
      <c r="Z26" s="524">
        <v>1668</v>
      </c>
      <c r="AA26" s="525">
        <f t="shared" si="6"/>
        <v>1622</v>
      </c>
      <c r="AB26" s="523">
        <v>255</v>
      </c>
      <c r="AC26" s="524">
        <v>1367</v>
      </c>
      <c r="AD26" s="525">
        <f t="shared" si="7"/>
        <v>852</v>
      </c>
      <c r="AE26" s="523">
        <v>175</v>
      </c>
      <c r="AF26" s="526">
        <v>677</v>
      </c>
      <c r="AG26" s="527">
        <f t="shared" si="8"/>
        <v>1136</v>
      </c>
      <c r="AH26" s="449">
        <f t="shared" si="9"/>
        <v>233.33333333333331</v>
      </c>
      <c r="AI26" s="450">
        <f t="shared" si="10"/>
        <v>902.6666666666667</v>
      </c>
      <c r="AJ26" s="528"/>
      <c r="AK26" s="450"/>
      <c r="AL26" s="451"/>
    </row>
    <row r="27" spans="2:38" ht="30" customHeight="1">
      <c r="B27" s="1193"/>
      <c r="C27" s="1193"/>
      <c r="D27" s="639"/>
      <c r="E27" s="639"/>
      <c r="F27" s="639"/>
      <c r="G27" s="639"/>
      <c r="H27" s="639"/>
      <c r="I27" s="640"/>
      <c r="O27" s="529">
        <f t="shared" si="0"/>
        <v>0</v>
      </c>
      <c r="P27" s="530">
        <f t="shared" si="15"/>
        <v>0</v>
      </c>
      <c r="Q27" s="531">
        <f>N27/3</f>
        <v>0</v>
      </c>
      <c r="R27" s="532">
        <f t="shared" si="3"/>
        <v>843.1</v>
      </c>
      <c r="S27" s="533">
        <v>843.1</v>
      </c>
      <c r="T27" s="534">
        <f>Q27/3</f>
        <v>0</v>
      </c>
      <c r="U27" s="521">
        <f t="shared" si="4"/>
        <v>924</v>
      </c>
      <c r="V27" s="515">
        <f>462*2</f>
        <v>924</v>
      </c>
      <c r="W27" s="522"/>
      <c r="X27" s="507">
        <f t="shared" si="5"/>
        <v>1216.5</v>
      </c>
      <c r="Y27" s="523">
        <v>1216.5</v>
      </c>
      <c r="Z27" s="524"/>
      <c r="AA27" s="525">
        <f t="shared" si="6"/>
        <v>830</v>
      </c>
      <c r="AB27" s="523">
        <v>830</v>
      </c>
      <c r="AC27" s="524"/>
      <c r="AD27" s="525">
        <f t="shared" si="7"/>
        <v>431</v>
      </c>
      <c r="AE27" s="523">
        <v>431</v>
      </c>
      <c r="AF27" s="526"/>
      <c r="AG27" s="527">
        <f t="shared" si="8"/>
        <v>574.6666666666666</v>
      </c>
      <c r="AH27" s="449">
        <f t="shared" si="9"/>
        <v>574.6666666666666</v>
      </c>
      <c r="AI27" s="450">
        <f t="shared" si="10"/>
        <v>0</v>
      </c>
      <c r="AJ27" s="528"/>
      <c r="AK27" s="450"/>
      <c r="AL27" s="451"/>
    </row>
    <row r="28" spans="2:38" ht="25.5" customHeight="1">
      <c r="B28" s="459"/>
      <c r="C28" s="641"/>
      <c r="D28" s="641"/>
      <c r="E28" s="641"/>
      <c r="F28" s="641"/>
      <c r="G28" s="641"/>
      <c r="H28" s="641"/>
      <c r="I28" s="642"/>
      <c r="O28" s="537">
        <f t="shared" si="0"/>
        <v>0</v>
      </c>
      <c r="P28" s="538">
        <f t="shared" si="15"/>
        <v>0</v>
      </c>
      <c r="Q28" s="539">
        <f>N28/3</f>
        <v>0</v>
      </c>
      <c r="R28" s="540">
        <f t="shared" si="3"/>
        <v>445.3</v>
      </c>
      <c r="S28" s="541">
        <v>445.3</v>
      </c>
      <c r="T28" s="542">
        <f>Q28/3</f>
        <v>0</v>
      </c>
      <c r="U28" s="543">
        <f t="shared" si="4"/>
        <v>386</v>
      </c>
      <c r="V28" s="536">
        <f>193*2</f>
        <v>386</v>
      </c>
      <c r="W28" s="544"/>
      <c r="X28" s="545">
        <f t="shared" si="5"/>
        <v>981</v>
      </c>
      <c r="Y28" s="546">
        <v>981</v>
      </c>
      <c r="Z28" s="547"/>
      <c r="AA28" s="525">
        <f t="shared" si="6"/>
        <v>369</v>
      </c>
      <c r="AB28" s="523">
        <v>369</v>
      </c>
      <c r="AC28" s="524"/>
      <c r="AD28" s="525">
        <f t="shared" si="7"/>
        <v>377</v>
      </c>
      <c r="AE28" s="523">
        <v>377</v>
      </c>
      <c r="AF28" s="526"/>
      <c r="AG28" s="527">
        <f t="shared" si="8"/>
        <v>502.66666666666663</v>
      </c>
      <c r="AH28" s="449">
        <f t="shared" si="9"/>
        <v>502.66666666666663</v>
      </c>
      <c r="AI28" s="450">
        <f t="shared" si="10"/>
        <v>0</v>
      </c>
      <c r="AJ28" s="528"/>
      <c r="AK28" s="450"/>
      <c r="AL28" s="451"/>
    </row>
    <row r="29" spans="3:38" ht="28.5" customHeight="1">
      <c r="C29" s="413"/>
      <c r="D29" s="413"/>
      <c r="E29" s="413"/>
      <c r="F29" s="413"/>
      <c r="G29" s="413"/>
      <c r="H29" s="413"/>
      <c r="O29" s="537">
        <f t="shared" si="0"/>
        <v>0</v>
      </c>
      <c r="P29" s="538">
        <f t="shared" si="15"/>
        <v>0</v>
      </c>
      <c r="Q29" s="539">
        <f>N29/1</f>
        <v>0</v>
      </c>
      <c r="R29" s="540">
        <f t="shared" si="3"/>
        <v>809.6</v>
      </c>
      <c r="S29" s="541">
        <v>519.1</v>
      </c>
      <c r="T29" s="542">
        <v>290.5</v>
      </c>
      <c r="U29" s="543">
        <f t="shared" si="4"/>
        <v>840</v>
      </c>
      <c r="V29" s="536">
        <f>239*2</f>
        <v>478</v>
      </c>
      <c r="W29" s="544">
        <f>181*2</f>
        <v>362</v>
      </c>
      <c r="X29" s="545">
        <f t="shared" si="5"/>
        <v>910.5</v>
      </c>
      <c r="Y29" s="546">
        <v>502.5</v>
      </c>
      <c r="Z29" s="547">
        <v>408</v>
      </c>
      <c r="AA29" s="548">
        <f t="shared" si="6"/>
        <v>808</v>
      </c>
      <c r="AB29" s="546">
        <v>506</v>
      </c>
      <c r="AC29" s="547">
        <v>302</v>
      </c>
      <c r="AD29" s="548">
        <f t="shared" si="7"/>
        <v>460</v>
      </c>
      <c r="AE29" s="546">
        <v>221</v>
      </c>
      <c r="AF29" s="549">
        <v>239</v>
      </c>
      <c r="AG29" s="550">
        <f t="shared" si="8"/>
        <v>613.3333333333334</v>
      </c>
      <c r="AH29" s="453">
        <f t="shared" si="9"/>
        <v>294.6666666666667</v>
      </c>
      <c r="AI29" s="454">
        <f t="shared" si="10"/>
        <v>318.6666666666667</v>
      </c>
      <c r="AJ29" s="551"/>
      <c r="AK29" s="454"/>
      <c r="AL29" s="455"/>
    </row>
    <row r="30" spans="15:38" ht="17.25" thickBot="1">
      <c r="O30" s="552"/>
      <c r="P30" s="538"/>
      <c r="Q30" s="538"/>
      <c r="R30" s="553"/>
      <c r="S30" s="541"/>
      <c r="T30" s="541"/>
      <c r="U30" s="554"/>
      <c r="V30" s="536"/>
      <c r="W30" s="536"/>
      <c r="X30" s="546"/>
      <c r="Y30" s="546"/>
      <c r="Z30" s="546"/>
      <c r="AA30" s="555"/>
      <c r="AB30" s="546"/>
      <c r="AC30" s="547"/>
      <c r="AD30" s="548"/>
      <c r="AE30" s="546"/>
      <c r="AF30" s="549"/>
      <c r="AG30" s="550"/>
      <c r="AH30" s="453"/>
      <c r="AI30" s="454"/>
      <c r="AJ30" s="551"/>
      <c r="AK30" s="454"/>
      <c r="AL30" s="455"/>
    </row>
    <row r="31" spans="15:38" ht="30" customHeight="1" thickBot="1">
      <c r="O31" s="559">
        <f>P31+Q31</f>
        <v>0</v>
      </c>
      <c r="P31" s="560">
        <f>M31/3</f>
        <v>0</v>
      </c>
      <c r="Q31" s="561">
        <f>N31/3</f>
        <v>0</v>
      </c>
      <c r="R31" s="562">
        <f>S31+T31</f>
        <v>7072.099999999999</v>
      </c>
      <c r="S31" s="563">
        <f aca="true" t="shared" si="16" ref="S31:Z31">SUM(S9:S28)</f>
        <v>4784.4</v>
      </c>
      <c r="T31" s="564">
        <f t="shared" si="16"/>
        <v>2287.7</v>
      </c>
      <c r="U31" s="565">
        <f t="shared" si="16"/>
        <v>7646</v>
      </c>
      <c r="V31" s="557">
        <f t="shared" si="16"/>
        <v>4902</v>
      </c>
      <c r="W31" s="566">
        <f t="shared" si="16"/>
        <v>2744</v>
      </c>
      <c r="X31" s="567">
        <f t="shared" si="16"/>
        <v>7597.5</v>
      </c>
      <c r="Y31" s="568">
        <f t="shared" si="16"/>
        <v>5281.5</v>
      </c>
      <c r="Z31" s="569">
        <f t="shared" si="16"/>
        <v>2316</v>
      </c>
      <c r="AA31" s="570">
        <f>AB31+AC31</f>
        <v>7236</v>
      </c>
      <c r="AB31" s="568">
        <f>SUM(AB9:AB29)</f>
        <v>4834</v>
      </c>
      <c r="AC31" s="569">
        <f>SUM(AC9:AC29)</f>
        <v>2402</v>
      </c>
      <c r="AD31" s="570">
        <f>AE31+AF31</f>
        <v>4375</v>
      </c>
      <c r="AE31" s="568">
        <f>SUM(AE9:AE29)</f>
        <v>3128</v>
      </c>
      <c r="AF31" s="569">
        <f>SUM(AF9:AF29)</f>
        <v>1247</v>
      </c>
      <c r="AG31" s="571">
        <f>AH31+AI31</f>
        <v>5833.333333333332</v>
      </c>
      <c r="AH31" s="572">
        <f>AE31/9*12</f>
        <v>4170.666666666666</v>
      </c>
      <c r="AI31" s="573">
        <f>AF31/9*12</f>
        <v>1662.6666666666665</v>
      </c>
      <c r="AJ31" s="571">
        <v>421</v>
      </c>
      <c r="AK31" s="560"/>
      <c r="AL31" s="574"/>
    </row>
    <row r="32" spans="15:38" ht="39" customHeight="1">
      <c r="O32" s="576"/>
      <c r="P32" s="560"/>
      <c r="Q32" s="560"/>
      <c r="R32" s="577"/>
      <c r="S32" s="563"/>
      <c r="T32" s="563"/>
      <c r="U32" s="578"/>
      <c r="V32" s="557"/>
      <c r="W32" s="557"/>
      <c r="X32" s="568"/>
      <c r="Y32" s="568"/>
      <c r="Z32" s="568"/>
      <c r="AA32" s="568"/>
      <c r="AB32" s="568"/>
      <c r="AC32" s="568"/>
      <c r="AD32" s="568"/>
      <c r="AE32" s="568"/>
      <c r="AF32" s="568"/>
      <c r="AG32" s="560"/>
      <c r="AH32" s="572"/>
      <c r="AI32" s="572"/>
      <c r="AJ32" s="560"/>
      <c r="AK32" s="560"/>
      <c r="AL32" s="560"/>
    </row>
    <row r="33" spans="2:38" ht="27" customHeight="1">
      <c r="B33" s="474"/>
      <c r="C33" s="658"/>
      <c r="D33" s="658"/>
      <c r="E33" s="658"/>
      <c r="F33" s="658"/>
      <c r="G33" s="658"/>
      <c r="H33" s="658"/>
      <c r="I33" s="658"/>
      <c r="J33" s="658"/>
      <c r="K33" s="658"/>
      <c r="L33" s="224"/>
      <c r="M33" s="224"/>
      <c r="N33" s="224"/>
      <c r="O33" s="659"/>
      <c r="P33" s="660"/>
      <c r="Q33" s="660"/>
      <c r="R33" s="661"/>
      <c r="S33" s="662"/>
      <c r="T33" s="662"/>
      <c r="U33" s="663"/>
      <c r="V33" s="664"/>
      <c r="W33" s="664"/>
      <c r="X33" s="665"/>
      <c r="Y33" s="665"/>
      <c r="Z33" s="665"/>
      <c r="AA33" s="665"/>
      <c r="AB33" s="665"/>
      <c r="AC33" s="665"/>
      <c r="AD33" s="665"/>
      <c r="AE33" s="665"/>
      <c r="AF33" s="665"/>
      <c r="AG33" s="660"/>
      <c r="AH33" s="666"/>
      <c r="AI33" s="666"/>
      <c r="AJ33" s="660"/>
      <c r="AK33" s="660"/>
      <c r="AL33" s="660"/>
    </row>
    <row r="34" spans="2:38" ht="15.75"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  <c r="Y34" s="1222"/>
      <c r="Z34" s="1222"/>
      <c r="AA34" s="1222"/>
      <c r="AB34" s="1222"/>
      <c r="AC34" s="1222"/>
      <c r="AD34" s="1222"/>
      <c r="AE34" s="1222"/>
      <c r="AF34" s="1222"/>
      <c r="AG34" s="1222"/>
      <c r="AH34" s="1222"/>
      <c r="AI34" s="1222"/>
      <c r="AJ34" s="1222"/>
      <c r="AK34" s="1222"/>
      <c r="AL34" s="1222"/>
    </row>
    <row r="35" spans="2:38" ht="15.75">
      <c r="B35" s="1143"/>
      <c r="C35" s="1143"/>
      <c r="D35" s="1143"/>
      <c r="E35" s="1143"/>
      <c r="F35" s="1143"/>
      <c r="G35" s="1143"/>
      <c r="H35" s="1143"/>
      <c r="I35" s="1143"/>
      <c r="J35" s="1143"/>
      <c r="K35" s="1143"/>
      <c r="L35" s="1143"/>
      <c r="M35" s="1143"/>
      <c r="N35" s="1143"/>
      <c r="O35" s="1143"/>
      <c r="P35" s="1143"/>
      <c r="Q35" s="1143"/>
      <c r="R35" s="1143"/>
      <c r="S35" s="1143"/>
      <c r="T35" s="1143"/>
      <c r="U35" s="1143"/>
      <c r="V35" s="1143"/>
      <c r="W35" s="1143"/>
      <c r="X35" s="1143"/>
      <c r="Y35" s="1143"/>
      <c r="Z35" s="1143"/>
      <c r="AA35" s="1143"/>
      <c r="AB35" s="1143"/>
      <c r="AC35" s="1143"/>
      <c r="AD35" s="1143"/>
      <c r="AE35" s="1143"/>
      <c r="AF35" s="1143"/>
      <c r="AG35" s="1143"/>
      <c r="AH35" s="1143"/>
      <c r="AI35" s="1143"/>
      <c r="AJ35" s="1143"/>
      <c r="AK35" s="1143"/>
      <c r="AL35" s="1143"/>
    </row>
    <row r="36" spans="21:38" ht="15.75">
      <c r="U36" s="592"/>
      <c r="V36" s="592"/>
      <c r="W36" s="592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68"/>
      <c r="AI36" s="468"/>
      <c r="AJ36" s="468"/>
      <c r="AK36" s="468"/>
      <c r="AL36" s="468"/>
    </row>
    <row r="37" spans="24:38" ht="15.75"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68"/>
      <c r="AI37" s="468"/>
      <c r="AJ37" s="468"/>
      <c r="AK37" s="468"/>
      <c r="AL37" s="468"/>
    </row>
    <row r="38" spans="24:38" ht="15.75"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68"/>
      <c r="AI38" s="468"/>
      <c r="AJ38" s="468"/>
      <c r="AK38" s="468"/>
      <c r="AL38" s="468"/>
    </row>
    <row r="39" spans="24:38" ht="15.75"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68"/>
      <c r="AI39" s="468"/>
      <c r="AJ39" s="468"/>
      <c r="AK39" s="468"/>
      <c r="AL39" s="468"/>
    </row>
    <row r="40" spans="24:38" ht="15.75"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68"/>
      <c r="AI40" s="468"/>
      <c r="AJ40" s="468"/>
      <c r="AK40" s="468"/>
      <c r="AL40" s="468"/>
    </row>
    <row r="41" spans="24:38" ht="15.75"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68"/>
      <c r="AI41" s="468"/>
      <c r="AJ41" s="468"/>
      <c r="AK41" s="468"/>
      <c r="AL41" s="468"/>
    </row>
    <row r="42" spans="24:38" ht="15.75"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72"/>
      <c r="AI42" s="472"/>
      <c r="AJ42" s="472"/>
      <c r="AK42" s="472"/>
      <c r="AL42" s="472"/>
    </row>
    <row r="45" ht="15.75">
      <c r="AM45" s="596"/>
    </row>
    <row r="46" ht="15.75">
      <c r="AM46" s="596"/>
    </row>
    <row r="58" ht="15" customHeight="1" hidden="1"/>
    <row r="59" ht="15.75" customHeight="1" hidden="1" thickBot="1"/>
    <row r="60" ht="15" customHeight="1" hidden="1"/>
    <row r="61" ht="65.25" customHeight="1" hidden="1"/>
    <row r="62" ht="15" customHeight="1" hidden="1" thickBot="1"/>
    <row r="63" ht="15.75" customHeight="1" hidden="1" thickBot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.75" customHeight="1" hidden="1" thickBot="1"/>
    <row r="86" ht="15.75" customHeight="1" hidden="1" thickBot="1"/>
    <row r="87" ht="15" customHeight="1" hidden="1"/>
    <row r="88" ht="15" customHeight="1" hidden="1"/>
    <row r="89" ht="15" customHeight="1" hidden="1"/>
    <row r="90" ht="15.75" customHeight="1" hidden="1" thickBot="1"/>
    <row r="91" ht="15" customHeight="1" hidden="1"/>
    <row r="92" ht="65.25" customHeight="1" hidden="1"/>
    <row r="93" ht="15" customHeight="1" hidden="1" thickBot="1"/>
    <row r="94" ht="15.75" customHeight="1" hidden="1" thickBot="1"/>
    <row r="95" ht="15.75" customHeight="1" hidden="1" thickBot="1"/>
    <row r="96" ht="15.75" customHeight="1" hidden="1" thickBot="1"/>
    <row r="97" ht="15" customHeight="1" hidden="1"/>
    <row r="98" ht="15" customHeight="1" hidden="1"/>
    <row r="99" ht="15" customHeight="1" hidden="1"/>
    <row r="100" ht="15.75" customHeight="1" hidden="1" thickBot="1"/>
    <row r="101" ht="15" customHeight="1" hidden="1"/>
    <row r="102" ht="65.25" customHeight="1" hidden="1"/>
    <row r="103" ht="15" customHeight="1" hidden="1" thickBot="1"/>
    <row r="104" ht="15.75" customHeight="1" hidden="1" thickBot="1"/>
    <row r="105" ht="15.75" customHeight="1" hidden="1" thickBot="1"/>
    <row r="106" ht="15.75" customHeight="1" hidden="1" thickBot="1"/>
    <row r="107" ht="15" customHeight="1" hidden="1"/>
    <row r="108" ht="15" customHeight="1" hidden="1"/>
    <row r="109" ht="15" customHeight="1" hidden="1"/>
    <row r="110" ht="15.75" customHeight="1" hidden="1" thickBot="1"/>
    <row r="111" ht="15" customHeight="1" hidden="1"/>
    <row r="112" ht="65.25" customHeight="1" hidden="1"/>
    <row r="113" ht="15" customHeight="1" hidden="1" thickBot="1"/>
    <row r="114" ht="15.75" customHeight="1" hidden="1" thickBot="1"/>
    <row r="115" ht="15.75" customHeight="1" hidden="1" thickBot="1"/>
    <row r="116" ht="15.75" customHeight="1" hidden="1" thickBot="1"/>
    <row r="117" ht="15" customHeight="1" hidden="1"/>
    <row r="118" ht="15" customHeight="1" hidden="1"/>
    <row r="119" ht="15.75" customHeight="1" hidden="1" thickBot="1"/>
    <row r="120" ht="15" customHeight="1" hidden="1"/>
    <row r="121" ht="65.25" customHeight="1" hidden="1"/>
    <row r="122" ht="15" customHeight="1" hidden="1" thickBot="1"/>
    <row r="123" ht="15.75" customHeight="1" hidden="1" thickBot="1"/>
    <row r="124" ht="15" customHeight="1" hidden="1"/>
    <row r="125" ht="15" customHeight="1" hidden="1"/>
    <row r="126" ht="15" customHeight="1" hidden="1"/>
    <row r="127" ht="15" customHeight="1" hidden="1"/>
    <row r="128" ht="15.75" customHeight="1" hidden="1" thickBot="1"/>
    <row r="129" ht="15.75" customHeight="1" hidden="1" thickBot="1"/>
    <row r="130" ht="15" customHeight="1" hidden="1"/>
    <row r="131" ht="15" customHeight="1" hidden="1"/>
    <row r="132" ht="15.75" customHeight="1" hidden="1" thickBot="1"/>
    <row r="133" ht="15" customHeight="1" hidden="1"/>
    <row r="134" ht="65.25" customHeight="1" hidden="1"/>
    <row r="135" ht="15" customHeight="1" hidden="1" thickBot="1"/>
    <row r="136" ht="15.75" customHeight="1" hidden="1" thickBot="1"/>
    <row r="137" ht="15.75" customHeight="1" hidden="1" thickBot="1"/>
    <row r="138" ht="15.75" customHeight="1" hidden="1" thickBot="1"/>
    <row r="139" ht="15" customHeight="1" hidden="1"/>
    <row r="140" ht="15" customHeight="1" hidden="1"/>
    <row r="141" ht="15.75" customHeight="1" hidden="1" thickBot="1"/>
    <row r="142" ht="15" customHeight="1" hidden="1"/>
    <row r="143" ht="65.25" customHeight="1" hidden="1"/>
    <row r="144" ht="15" customHeight="1" hidden="1" thickBot="1"/>
    <row r="145" ht="15.75" customHeight="1" hidden="1" thickBot="1"/>
    <row r="146" ht="15" customHeight="1" hidden="1"/>
    <row r="147" ht="15.75" customHeight="1" hidden="1" thickBot="1"/>
    <row r="148" ht="15.75" customHeight="1" hidden="1" thickBot="1"/>
    <row r="149" ht="15" customHeight="1" hidden="1"/>
  </sheetData>
  <sheetProtection/>
  <mergeCells count="40">
    <mergeCell ref="B35:AL35"/>
    <mergeCell ref="B34:AL34"/>
    <mergeCell ref="AK6:AL6"/>
    <mergeCell ref="AE6:AF6"/>
    <mergeCell ref="X6:X7"/>
    <mergeCell ref="AG6:AG7"/>
    <mergeCell ref="AH6:AI6"/>
    <mergeCell ref="AJ6:AJ7"/>
    <mergeCell ref="Y6:Z6"/>
    <mergeCell ref="AA6:AA7"/>
    <mergeCell ref="P6:Q6"/>
    <mergeCell ref="AB6:AC6"/>
    <mergeCell ref="AD6:AD7"/>
    <mergeCell ref="R6:R7"/>
    <mergeCell ref="S6:T6"/>
    <mergeCell ref="U6:U7"/>
    <mergeCell ref="V6:W6"/>
    <mergeCell ref="AD5:AF5"/>
    <mergeCell ref="AG5:AI5"/>
    <mergeCell ref="AJ5:AL5"/>
    <mergeCell ref="C6:C7"/>
    <mergeCell ref="D6:E6"/>
    <mergeCell ref="F6:F7"/>
    <mergeCell ref="G6:H6"/>
    <mergeCell ref="I6:I7"/>
    <mergeCell ref="J6:K6"/>
    <mergeCell ref="O6:O7"/>
    <mergeCell ref="H1:K1"/>
    <mergeCell ref="B3:K3"/>
    <mergeCell ref="AA5:AC5"/>
    <mergeCell ref="O5:Q5"/>
    <mergeCell ref="R5:T5"/>
    <mergeCell ref="U5:W5"/>
    <mergeCell ref="X5:Z5"/>
    <mergeCell ref="B27:C27"/>
    <mergeCell ref="B4:B7"/>
    <mergeCell ref="C4:H4"/>
    <mergeCell ref="C5:E5"/>
    <mergeCell ref="F5:H5"/>
    <mergeCell ref="I4:K5"/>
  </mergeCells>
  <printOptions/>
  <pageMargins left="0.18" right="0.28" top="0.35" bottom="0.3" header="0.31496062992125984" footer="0.31496062992125984"/>
  <pageSetup fitToHeight="0" horizontalDpi="600" verticalDpi="600" orientation="landscape" paperSize="9" scale="80" r:id="rId1"/>
  <rowBreaks count="1" manualBreakCount="1">
    <brk id="26" max="22" man="1"/>
  </rowBreaks>
  <colBreaks count="1" manualBreakCount="1">
    <brk id="14" max="1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V38"/>
  <sheetViews>
    <sheetView view="pageBreakPreview" zoomScale="70" zoomScaleSheetLayoutView="70" zoomScalePageLayoutView="0" workbookViewId="0" topLeftCell="A13">
      <selection activeCell="E20" sqref="E20"/>
    </sheetView>
  </sheetViews>
  <sheetFormatPr defaultColWidth="9.140625" defaultRowHeight="15"/>
  <cols>
    <col min="1" max="1" width="56.140625" style="20" customWidth="1"/>
    <col min="2" max="2" width="13.421875" style="61" customWidth="1"/>
    <col min="3" max="3" width="17.140625" style="20" customWidth="1"/>
    <col min="4" max="4" width="9.7109375" style="61" customWidth="1"/>
    <col min="5" max="5" width="17.28125" style="59" customWidth="1"/>
    <col min="6" max="6" width="9.421875" style="61" customWidth="1"/>
    <col min="7" max="7" width="18.28125" style="20" customWidth="1"/>
    <col min="8" max="8" width="11.421875" style="20" customWidth="1"/>
    <col min="9" max="9" width="19.00390625" style="20" customWidth="1"/>
    <col min="10" max="11" width="15.8515625" style="20" customWidth="1"/>
    <col min="12" max="12" width="12.7109375" style="20" customWidth="1"/>
    <col min="13" max="13" width="19.140625" style="20" customWidth="1"/>
    <col min="14" max="14" width="13.00390625" style="20" customWidth="1"/>
    <col min="15" max="15" width="13.8515625" style="20" customWidth="1"/>
    <col min="16" max="16" width="12.421875" style="20" customWidth="1"/>
    <col min="17" max="17" width="10.57421875" style="20" customWidth="1"/>
    <col min="18" max="16384" width="9.140625" style="20" customWidth="1"/>
  </cols>
  <sheetData>
    <row r="1" spans="1:9" ht="31.5" customHeight="1">
      <c r="A1" s="67"/>
      <c r="B1" s="68"/>
      <c r="C1" s="67"/>
      <c r="D1" s="68"/>
      <c r="E1" s="70"/>
      <c r="F1" s="1226" t="s">
        <v>107</v>
      </c>
      <c r="G1" s="1226"/>
      <c r="H1" s="1226"/>
      <c r="I1" s="1226"/>
    </row>
    <row r="2" spans="1:9" ht="22.5" customHeight="1">
      <c r="A2" s="67"/>
      <c r="B2" s="68"/>
      <c r="C2" s="67"/>
      <c r="D2" s="68"/>
      <c r="E2" s="70"/>
      <c r="F2" s="1226"/>
      <c r="G2" s="1226"/>
      <c r="H2" s="1226"/>
      <c r="I2" s="1226"/>
    </row>
    <row r="3" spans="1:9" ht="18" customHeight="1">
      <c r="A3" s="67"/>
      <c r="B3" s="68"/>
      <c r="C3" s="67"/>
      <c r="D3" s="68"/>
      <c r="E3" s="70"/>
      <c r="F3" s="1226"/>
      <c r="G3" s="1226"/>
      <c r="H3" s="1226"/>
      <c r="I3" s="1226"/>
    </row>
    <row r="4" spans="1:9" ht="20.25" customHeight="1">
      <c r="A4" s="67"/>
      <c r="B4" s="68"/>
      <c r="C4" s="67"/>
      <c r="D4" s="68"/>
      <c r="E4" s="70"/>
      <c r="F4" s="68"/>
      <c r="G4" s="67"/>
      <c r="H4" s="67"/>
      <c r="I4" s="67"/>
    </row>
    <row r="5" spans="1:9" ht="23.25" customHeight="1">
      <c r="A5" s="994" t="s">
        <v>89</v>
      </c>
      <c r="B5" s="994"/>
      <c r="C5" s="994"/>
      <c r="D5" s="994"/>
      <c r="E5" s="994"/>
      <c r="F5" s="994"/>
      <c r="G5" s="994"/>
      <c r="H5" s="994"/>
      <c r="I5" s="67"/>
    </row>
    <row r="6" spans="1:9" ht="16.5" thickBot="1">
      <c r="A6" s="67"/>
      <c r="B6" s="68"/>
      <c r="C6" s="67"/>
      <c r="D6" s="68"/>
      <c r="E6" s="70"/>
      <c r="F6" s="68"/>
      <c r="G6" s="67"/>
      <c r="H6" s="67"/>
      <c r="I6" s="67"/>
    </row>
    <row r="7" spans="1:11" ht="30" customHeight="1" thickBot="1">
      <c r="A7" s="1231" t="s">
        <v>243</v>
      </c>
      <c r="B7" s="1232" t="s">
        <v>90</v>
      </c>
      <c r="C7" s="1233"/>
      <c r="D7" s="1007" t="s">
        <v>240</v>
      </c>
      <c r="E7" s="1240"/>
      <c r="F7" s="1240"/>
      <c r="G7" s="1240"/>
      <c r="H7" s="1236" t="s">
        <v>39</v>
      </c>
      <c r="I7" s="1237"/>
      <c r="J7" s="49"/>
      <c r="K7" s="49"/>
    </row>
    <row r="8" spans="1:11" ht="99" customHeight="1" thickBot="1">
      <c r="A8" s="1010"/>
      <c r="B8" s="1234"/>
      <c r="C8" s="1235"/>
      <c r="D8" s="1227" t="s">
        <v>137</v>
      </c>
      <c r="E8" s="1228"/>
      <c r="F8" s="1229" t="s">
        <v>138</v>
      </c>
      <c r="G8" s="1230"/>
      <c r="H8" s="1238"/>
      <c r="I8" s="1239"/>
      <c r="J8" s="49"/>
      <c r="K8" s="49"/>
    </row>
    <row r="9" spans="1:11" s="932" customFormat="1" ht="24.75" customHeight="1" thickBot="1">
      <c r="A9" s="928"/>
      <c r="B9" s="929" t="s">
        <v>325</v>
      </c>
      <c r="C9" s="930" t="s">
        <v>326</v>
      </c>
      <c r="D9" s="929" t="s">
        <v>325</v>
      </c>
      <c r="E9" s="930" t="s">
        <v>326</v>
      </c>
      <c r="F9" s="929" t="s">
        <v>325</v>
      </c>
      <c r="G9" s="930" t="s">
        <v>326</v>
      </c>
      <c r="H9" s="929" t="s">
        <v>325</v>
      </c>
      <c r="I9" s="930" t="s">
        <v>326</v>
      </c>
      <c r="J9" s="931"/>
      <c r="K9" s="931"/>
    </row>
    <row r="10" spans="1:12" ht="24.75" customHeight="1">
      <c r="A10" s="950" t="s">
        <v>242</v>
      </c>
      <c r="B10" s="955">
        <f>143+2</f>
        <v>145</v>
      </c>
      <c r="C10" s="956">
        <f>302499+195</f>
        <v>302694</v>
      </c>
      <c r="D10" s="953">
        <f>'Приложение 2.1 СМП '!C8</f>
        <v>419</v>
      </c>
      <c r="E10" s="957">
        <f>874117.8+12</f>
        <v>874129.8</v>
      </c>
      <c r="F10" s="165">
        <f>'Приложение 2.1 СМП '!D8</f>
        <v>12500</v>
      </c>
      <c r="G10" s="956">
        <f>26078334.48-334.48</f>
        <v>26078000</v>
      </c>
      <c r="H10" s="165">
        <f>B10+D10+F10</f>
        <v>13064</v>
      </c>
      <c r="I10" s="956">
        <f>C10+E10+G10</f>
        <v>27254823.8</v>
      </c>
      <c r="J10" s="49"/>
      <c r="K10" s="49"/>
      <c r="L10" s="29"/>
    </row>
    <row r="11" spans="1:11" ht="29.25" customHeight="1">
      <c r="A11" s="933" t="s">
        <v>91</v>
      </c>
      <c r="B11" s="71"/>
      <c r="C11" s="73"/>
      <c r="D11" s="954"/>
      <c r="E11" s="958"/>
      <c r="F11" s="142"/>
      <c r="G11" s="73"/>
      <c r="H11" s="142"/>
      <c r="I11" s="73"/>
      <c r="J11" s="49"/>
      <c r="K11" s="49"/>
    </row>
    <row r="12" spans="1:22" ht="34.5" customHeight="1">
      <c r="A12" s="94" t="s">
        <v>331</v>
      </c>
      <c r="B12" s="75" t="s">
        <v>85</v>
      </c>
      <c r="C12" s="73">
        <v>1183890.05</v>
      </c>
      <c r="D12" s="954">
        <f>'Приложение 2.2 АПП'!Q30</f>
        <v>2233</v>
      </c>
      <c r="E12" s="958">
        <v>1016138.34</v>
      </c>
      <c r="F12" s="142">
        <f>'Приложение 2.2 АПП'!AF30</f>
        <v>97340</v>
      </c>
      <c r="G12" s="73">
        <v>41617894.38</v>
      </c>
      <c r="H12" s="142">
        <f>B12+D12+F12</f>
        <v>102338</v>
      </c>
      <c r="I12" s="73">
        <f>C12+E12+G12</f>
        <v>43817922.77</v>
      </c>
      <c r="J12" s="49"/>
      <c r="K12" s="49"/>
      <c r="L12" s="29"/>
      <c r="M12" s="49"/>
      <c r="N12" s="49"/>
      <c r="O12" s="49"/>
      <c r="P12" s="49"/>
      <c r="V12" s="50"/>
    </row>
    <row r="13" spans="1:22" ht="19.5" customHeight="1">
      <c r="A13" s="935" t="s">
        <v>250</v>
      </c>
      <c r="B13" s="75"/>
      <c r="C13" s="73"/>
      <c r="D13" s="954"/>
      <c r="E13" s="958"/>
      <c r="F13" s="959"/>
      <c r="G13" s="73"/>
      <c r="H13" s="142"/>
      <c r="I13" s="73"/>
      <c r="J13" s="49"/>
      <c r="K13" s="49"/>
      <c r="L13" s="29"/>
      <c r="M13" s="49"/>
      <c r="N13" s="49"/>
      <c r="O13" s="49"/>
      <c r="P13" s="49"/>
      <c r="V13" s="50"/>
    </row>
    <row r="14" spans="1:22" ht="24.75" customHeight="1">
      <c r="A14" s="94" t="s">
        <v>42</v>
      </c>
      <c r="B14" s="75"/>
      <c r="C14" s="73"/>
      <c r="D14" s="954"/>
      <c r="E14" s="958"/>
      <c r="F14" s="142">
        <v>33667</v>
      </c>
      <c r="G14" s="73">
        <f>15582784.7</f>
        <v>15582784.7</v>
      </c>
      <c r="H14" s="142"/>
      <c r="I14" s="73"/>
      <c r="J14" s="49"/>
      <c r="K14" s="49"/>
      <c r="L14" s="29"/>
      <c r="M14" s="49"/>
      <c r="N14" s="49"/>
      <c r="O14" s="49"/>
      <c r="P14" s="49"/>
      <c r="V14" s="50"/>
    </row>
    <row r="15" spans="1:22" ht="24.75" customHeight="1">
      <c r="A15" s="94" t="s">
        <v>94</v>
      </c>
      <c r="B15" s="75"/>
      <c r="C15" s="73"/>
      <c r="D15" s="954"/>
      <c r="E15" s="958"/>
      <c r="F15" s="142"/>
      <c r="G15" s="73">
        <f>G12-G14</f>
        <v>26035109.680000003</v>
      </c>
      <c r="H15" s="142"/>
      <c r="I15" s="73"/>
      <c r="J15" s="49"/>
      <c r="K15" s="49"/>
      <c r="L15" s="29"/>
      <c r="M15" s="49"/>
      <c r="N15" s="49"/>
      <c r="O15" s="49"/>
      <c r="P15" s="49"/>
      <c r="V15" s="50"/>
    </row>
    <row r="16" spans="1:22" ht="31.5" customHeight="1">
      <c r="A16" s="94" t="s">
        <v>332</v>
      </c>
      <c r="B16" s="75" t="s">
        <v>84</v>
      </c>
      <c r="C16" s="73">
        <v>1679496</v>
      </c>
      <c r="D16" s="954">
        <f>'Приложение 2.3 АПП '!B26</f>
        <v>1355</v>
      </c>
      <c r="E16" s="958">
        <v>1642374.36</v>
      </c>
      <c r="F16" s="142">
        <f>'Приложение 2.3 АПП '!E26</f>
        <v>83470</v>
      </c>
      <c r="G16" s="73">
        <v>100117070.15</v>
      </c>
      <c r="H16" s="142">
        <f>B16+D16+F16</f>
        <v>86225</v>
      </c>
      <c r="I16" s="73">
        <f>C16+E16+G16</f>
        <v>103438940.51</v>
      </c>
      <c r="J16" s="49"/>
      <c r="K16" s="49"/>
      <c r="L16" s="29"/>
      <c r="M16" s="49"/>
      <c r="N16" s="49"/>
      <c r="O16" s="49"/>
      <c r="P16" s="49"/>
      <c r="V16" s="50"/>
    </row>
    <row r="17" spans="1:22" ht="24.75" customHeight="1">
      <c r="A17" s="94" t="s">
        <v>334</v>
      </c>
      <c r="B17" s="75"/>
      <c r="C17" s="73"/>
      <c r="D17" s="954"/>
      <c r="E17" s="958"/>
      <c r="F17" s="960"/>
      <c r="G17" s="73">
        <f>G16</f>
        <v>100117070.15</v>
      </c>
      <c r="H17" s="961"/>
      <c r="I17" s="73"/>
      <c r="J17" s="49"/>
      <c r="K17" s="49"/>
      <c r="L17" s="29"/>
      <c r="M17" s="49"/>
      <c r="N17" s="49"/>
      <c r="O17" s="49"/>
      <c r="P17" s="49"/>
      <c r="V17" s="50"/>
    </row>
    <row r="18" spans="1:22" ht="36.75" customHeight="1">
      <c r="A18" s="94" t="s">
        <v>43</v>
      </c>
      <c r="B18" s="75"/>
      <c r="C18" s="73"/>
      <c r="D18" s="954">
        <f>'Приложение 2.2 АПП'!T30</f>
        <v>387</v>
      </c>
      <c r="E18" s="958">
        <v>212122.44</v>
      </c>
      <c r="F18" s="142">
        <f>'Приложение 2.2 АПП'!AI30</f>
        <v>24000</v>
      </c>
      <c r="G18" s="73">
        <v>13154880</v>
      </c>
      <c r="H18" s="142">
        <f>B18+D18+F18</f>
        <v>24387</v>
      </c>
      <c r="I18" s="73">
        <f>C18+E18+G18</f>
        <v>13367002.44</v>
      </c>
      <c r="J18" s="49"/>
      <c r="K18" s="49"/>
      <c r="L18" s="29"/>
      <c r="M18" s="49"/>
      <c r="N18" s="49"/>
      <c r="O18" s="49"/>
      <c r="P18" s="49"/>
      <c r="V18" s="50"/>
    </row>
    <row r="19" spans="1:22" ht="26.25" customHeight="1">
      <c r="A19" s="934" t="s">
        <v>180</v>
      </c>
      <c r="B19" s="75"/>
      <c r="C19" s="73"/>
      <c r="D19" s="954"/>
      <c r="E19" s="958"/>
      <c r="F19" s="142"/>
      <c r="G19" s="73"/>
      <c r="H19" s="142"/>
      <c r="I19" s="73"/>
      <c r="J19" s="49"/>
      <c r="K19" s="49"/>
      <c r="L19" s="29"/>
      <c r="M19" s="49"/>
      <c r="N19" s="49"/>
      <c r="O19" s="49"/>
      <c r="P19" s="49"/>
      <c r="V19" s="50"/>
    </row>
    <row r="20" spans="1:16" ht="26.25" customHeight="1">
      <c r="A20" s="98" t="s">
        <v>61</v>
      </c>
      <c r="B20" s="71">
        <f>420+1</f>
        <v>421</v>
      </c>
      <c r="C20" s="73">
        <v>11465535.05</v>
      </c>
      <c r="D20" s="954">
        <f>'Приложение 2.4 -КС'!B31</f>
        <v>259</v>
      </c>
      <c r="E20" s="958">
        <v>7081071.27</v>
      </c>
      <c r="F20" s="167">
        <f>'Приложение 2.4 -КС'!E31</f>
        <v>6816</v>
      </c>
      <c r="G20" s="73">
        <v>185609363.84</v>
      </c>
      <c r="H20" s="167">
        <f>B20+D20+F20</f>
        <v>7496</v>
      </c>
      <c r="I20" s="73">
        <f>C20+E20+G20</f>
        <v>204155970.16</v>
      </c>
      <c r="J20" s="49"/>
      <c r="K20" s="49"/>
      <c r="L20" s="49"/>
      <c r="M20" s="49"/>
      <c r="N20" s="49"/>
      <c r="O20" s="49"/>
      <c r="P20" s="49"/>
    </row>
    <row r="21" spans="1:16" ht="21" customHeight="1">
      <c r="A21" s="98" t="s">
        <v>251</v>
      </c>
      <c r="B21" s="71"/>
      <c r="C21" s="73"/>
      <c r="D21" s="954">
        <v>2315</v>
      </c>
      <c r="E21" s="958"/>
      <c r="F21" s="167">
        <v>57865</v>
      </c>
      <c r="G21" s="73"/>
      <c r="H21" s="142">
        <f>D21+F21</f>
        <v>60180</v>
      </c>
      <c r="I21" s="73"/>
      <c r="J21" s="49"/>
      <c r="K21" s="49"/>
      <c r="L21" s="49"/>
      <c r="M21" s="49"/>
      <c r="N21" s="49"/>
      <c r="O21" s="49"/>
      <c r="P21" s="49"/>
    </row>
    <row r="22" spans="1:16" ht="24.75" customHeight="1">
      <c r="A22" s="92" t="s">
        <v>283</v>
      </c>
      <c r="B22" s="71"/>
      <c r="C22" s="73"/>
      <c r="D22" s="954"/>
      <c r="E22" s="958"/>
      <c r="F22" s="167"/>
      <c r="G22" s="73"/>
      <c r="H22" s="167"/>
      <c r="I22" s="73"/>
      <c r="J22" s="49"/>
      <c r="K22" s="49"/>
      <c r="L22" s="49"/>
      <c r="M22" s="49"/>
      <c r="N22" s="49"/>
      <c r="O22" s="49"/>
      <c r="P22" s="49"/>
    </row>
    <row r="23" spans="1:16" ht="22.5" customHeight="1">
      <c r="A23" s="933" t="s">
        <v>59</v>
      </c>
      <c r="B23" s="71">
        <v>27</v>
      </c>
      <c r="C23" s="73">
        <v>368383.41</v>
      </c>
      <c r="D23" s="954">
        <f>'Приложение 2.5 -ДС '!C24</f>
        <v>92</v>
      </c>
      <c r="E23" s="958">
        <v>1174163.55</v>
      </c>
      <c r="F23" s="167">
        <f>'Приложение 2.5 -ДС '!F24</f>
        <v>2494</v>
      </c>
      <c r="G23" s="73">
        <f>34107433.15</f>
        <v>34107433.15</v>
      </c>
      <c r="H23" s="167">
        <f>B23+D23+F23</f>
        <v>2613</v>
      </c>
      <c r="I23" s="73">
        <f>C23+E23+G23</f>
        <v>35649980.11</v>
      </c>
      <c r="J23" s="49"/>
      <c r="K23" s="49"/>
      <c r="L23" s="49"/>
      <c r="M23" s="49"/>
      <c r="N23" s="49"/>
      <c r="O23" s="49"/>
      <c r="P23" s="49"/>
    </row>
    <row r="24" spans="1:16" ht="22.5" customHeight="1">
      <c r="A24" s="951" t="s">
        <v>83</v>
      </c>
      <c r="B24" s="71"/>
      <c r="C24" s="73"/>
      <c r="D24" s="954"/>
      <c r="E24" s="958"/>
      <c r="F24" s="167"/>
      <c r="G24" s="73"/>
      <c r="H24" s="167"/>
      <c r="I24" s="73"/>
      <c r="J24" s="49"/>
      <c r="K24" s="49"/>
      <c r="L24" s="49"/>
      <c r="M24" s="49"/>
      <c r="N24" s="49"/>
      <c r="O24" s="49"/>
      <c r="P24" s="49"/>
    </row>
    <row r="25" spans="1:16" ht="22.5" customHeight="1">
      <c r="A25" s="951" t="s">
        <v>60</v>
      </c>
      <c r="B25" s="71"/>
      <c r="C25" s="73"/>
      <c r="D25" s="954"/>
      <c r="E25" s="958"/>
      <c r="F25" s="167"/>
      <c r="G25" s="73"/>
      <c r="H25" s="167"/>
      <c r="I25" s="73"/>
      <c r="J25" s="49"/>
      <c r="K25" s="49"/>
      <c r="L25" s="49"/>
      <c r="M25" s="49"/>
      <c r="N25" s="49"/>
      <c r="O25" s="49"/>
      <c r="P25" s="49"/>
    </row>
    <row r="26" spans="1:16" ht="32.25" customHeight="1" thickBot="1">
      <c r="A26" s="952" t="s">
        <v>86</v>
      </c>
      <c r="B26" s="944"/>
      <c r="C26" s="945">
        <f>SUM(C10:C23)</f>
        <v>14999998.510000002</v>
      </c>
      <c r="D26" s="946"/>
      <c r="E26" s="947">
        <f>SUM(E10:E23)</f>
        <v>11999999.76</v>
      </c>
      <c r="F26" s="147"/>
      <c r="G26" s="948">
        <f>G10+G12+G18+G16+G20+G23</f>
        <v>400684641.52</v>
      </c>
      <c r="H26" s="962"/>
      <c r="I26" s="949">
        <f>I10+I12+I16+I18+I20+I23</f>
        <v>427684639.79</v>
      </c>
      <c r="J26" s="49"/>
      <c r="K26" s="49"/>
      <c r="L26" s="49"/>
      <c r="M26" s="49"/>
      <c r="N26" s="49"/>
      <c r="O26" s="49"/>
      <c r="P26" s="49"/>
    </row>
    <row r="27" spans="1:16" ht="32.25" customHeight="1">
      <c r="A27" s="1225" t="s">
        <v>324</v>
      </c>
      <c r="B27" s="1225"/>
      <c r="C27" s="1225"/>
      <c r="D27" s="1225"/>
      <c r="E27" s="1225"/>
      <c r="F27" s="1225"/>
      <c r="G27" s="1225"/>
      <c r="H27" s="1225"/>
      <c r="I27" s="1225"/>
      <c r="J27" s="49"/>
      <c r="K27" s="49"/>
      <c r="L27" s="49"/>
      <c r="M27" s="49"/>
      <c r="N27" s="49"/>
      <c r="O27" s="49"/>
      <c r="P27" s="49"/>
    </row>
    <row r="28" spans="1:16" ht="33.75" customHeight="1">
      <c r="A28" s="1224" t="s">
        <v>327</v>
      </c>
      <c r="B28" s="1224"/>
      <c r="C28" s="1224"/>
      <c r="D28" s="1224"/>
      <c r="E28" s="1224"/>
      <c r="F28" s="1224"/>
      <c r="G28" s="1224"/>
      <c r="H28" s="1224"/>
      <c r="I28" s="1224"/>
      <c r="J28" s="49"/>
      <c r="K28" s="49"/>
      <c r="L28" s="49"/>
      <c r="M28" s="49"/>
      <c r="N28" s="49"/>
      <c r="O28" s="49"/>
      <c r="P28" s="49"/>
    </row>
    <row r="29" spans="1:16" ht="32.25" customHeight="1">
      <c r="A29" s="923"/>
      <c r="B29" s="77"/>
      <c r="C29" s="81"/>
      <c r="D29" s="79"/>
      <c r="E29" s="81"/>
      <c r="F29" s="79"/>
      <c r="G29" s="150"/>
      <c r="H29" s="78"/>
      <c r="I29" s="924"/>
      <c r="J29" s="49"/>
      <c r="K29" s="49"/>
      <c r="L29" s="49"/>
      <c r="M29" s="49"/>
      <c r="N29" s="49"/>
      <c r="O29" s="49"/>
      <c r="P29" s="49"/>
    </row>
    <row r="30" spans="1:16" ht="32.25" customHeight="1">
      <c r="A30" s="923"/>
      <c r="B30" s="77"/>
      <c r="C30" s="81"/>
      <c r="D30" s="79"/>
      <c r="E30" s="81"/>
      <c r="F30" s="79"/>
      <c r="G30" s="150"/>
      <c r="H30" s="78"/>
      <c r="I30" s="924"/>
      <c r="J30" s="49"/>
      <c r="K30" s="49"/>
      <c r="L30" s="49"/>
      <c r="M30" s="49"/>
      <c r="N30" s="49"/>
      <c r="O30" s="49"/>
      <c r="P30" s="49"/>
    </row>
    <row r="31" spans="1:16" ht="32.25" customHeight="1">
      <c r="A31" s="923"/>
      <c r="B31" s="77"/>
      <c r="C31" s="81"/>
      <c r="D31" s="79"/>
      <c r="E31" s="81"/>
      <c r="F31" s="79"/>
      <c r="G31" s="150"/>
      <c r="H31" s="78"/>
      <c r="I31" s="924"/>
      <c r="J31" s="49"/>
      <c r="K31" s="49"/>
      <c r="L31" s="49"/>
      <c r="M31" s="49"/>
      <c r="N31" s="49"/>
      <c r="O31" s="49"/>
      <c r="P31" s="49"/>
    </row>
    <row r="32" spans="1:16" ht="32.25" customHeight="1">
      <c r="A32" s="923"/>
      <c r="B32" s="77"/>
      <c r="C32" s="81"/>
      <c r="D32" s="79"/>
      <c r="E32" s="81"/>
      <c r="F32" s="79"/>
      <c r="G32" s="150"/>
      <c r="H32" s="78"/>
      <c r="I32" s="924"/>
      <c r="J32" s="49"/>
      <c r="K32" s="49"/>
      <c r="L32" s="49"/>
      <c r="M32" s="49"/>
      <c r="N32" s="49"/>
      <c r="O32" s="49"/>
      <c r="P32" s="49"/>
    </row>
    <row r="33" spans="1:16" ht="20.25" customHeight="1">
      <c r="A33" s="23"/>
      <c r="B33" s="65"/>
      <c r="C33" s="62"/>
      <c r="D33" s="64"/>
      <c r="E33" s="63"/>
      <c r="F33" s="64"/>
      <c r="G33" s="62"/>
      <c r="H33" s="51"/>
      <c r="I33" s="49"/>
      <c r="J33" s="49"/>
      <c r="K33" s="49"/>
      <c r="L33" s="49"/>
      <c r="M33" s="49"/>
      <c r="N33" s="49"/>
      <c r="O33" s="49"/>
      <c r="P33" s="49"/>
    </row>
    <row r="34" spans="1:16" ht="20.25" customHeight="1">
      <c r="A34" s="23"/>
      <c r="B34" s="65"/>
      <c r="C34" s="62"/>
      <c r="D34" s="64"/>
      <c r="E34" s="63"/>
      <c r="F34" s="64"/>
      <c r="G34" s="62"/>
      <c r="H34" s="51"/>
      <c r="I34" s="49"/>
      <c r="J34" s="49"/>
      <c r="K34" s="49"/>
      <c r="L34" s="49"/>
      <c r="M34" s="49"/>
      <c r="N34" s="49"/>
      <c r="O34" s="49"/>
      <c r="P34" s="49"/>
    </row>
    <row r="35" spans="1:16" ht="20.25" customHeight="1">
      <c r="A35" s="23"/>
      <c r="B35" s="65"/>
      <c r="C35" s="62"/>
      <c r="D35" s="64"/>
      <c r="E35" s="63"/>
      <c r="F35" s="64"/>
      <c r="G35" s="62"/>
      <c r="H35" s="51"/>
      <c r="I35" s="49"/>
      <c r="J35" s="49"/>
      <c r="K35" s="49"/>
      <c r="L35" s="49"/>
      <c r="M35" s="49"/>
      <c r="N35" s="49"/>
      <c r="O35" s="49"/>
      <c r="P35" s="49"/>
    </row>
    <row r="36" spans="1:16" ht="20.25" customHeight="1">
      <c r="A36" s="23"/>
      <c r="B36" s="65"/>
      <c r="C36" s="62"/>
      <c r="D36" s="64"/>
      <c r="E36" s="63"/>
      <c r="F36" s="64"/>
      <c r="G36" s="62"/>
      <c r="H36" s="51"/>
      <c r="I36" s="49"/>
      <c r="J36" s="49"/>
      <c r="K36" s="49"/>
      <c r="L36" s="49"/>
      <c r="M36" s="49"/>
      <c r="N36" s="49"/>
      <c r="O36" s="49"/>
      <c r="P36" s="49"/>
    </row>
    <row r="37" spans="1:16" ht="20.25" customHeight="1">
      <c r="A37" s="23"/>
      <c r="B37" s="65"/>
      <c r="C37" s="62"/>
      <c r="D37" s="64"/>
      <c r="E37" s="63"/>
      <c r="F37" s="64"/>
      <c r="G37" s="62"/>
      <c r="H37" s="51"/>
      <c r="I37" s="49"/>
      <c r="J37" s="49"/>
      <c r="K37" s="49"/>
      <c r="L37" s="49"/>
      <c r="M37" s="49"/>
      <c r="N37" s="49"/>
      <c r="O37" s="49"/>
      <c r="P37" s="49"/>
    </row>
    <row r="38" spans="1:16" ht="20.25" customHeight="1">
      <c r="A38" s="23"/>
      <c r="B38" s="65"/>
      <c r="C38" s="62"/>
      <c r="D38" s="64"/>
      <c r="E38" s="63"/>
      <c r="F38" s="64"/>
      <c r="G38" s="62"/>
      <c r="H38" s="51"/>
      <c r="I38" s="49"/>
      <c r="J38" s="49"/>
      <c r="K38" s="49"/>
      <c r="L38" s="49"/>
      <c r="M38" s="49"/>
      <c r="N38" s="49"/>
      <c r="O38" s="49"/>
      <c r="P38" s="49"/>
    </row>
  </sheetData>
  <sheetProtection/>
  <mergeCells count="10">
    <mergeCell ref="A28:I28"/>
    <mergeCell ref="A27:I27"/>
    <mergeCell ref="F1:I3"/>
    <mergeCell ref="A5:H5"/>
    <mergeCell ref="D8:E8"/>
    <mergeCell ref="F8:G8"/>
    <mergeCell ref="A7:A8"/>
    <mergeCell ref="B7:C8"/>
    <mergeCell ref="H7:I8"/>
    <mergeCell ref="D7:G7"/>
  </mergeCells>
  <printOptions/>
  <pageMargins left="0.34" right="0.17" top="0.32" bottom="0.36" header="0.31496062992125984" footer="0.31496062992125984"/>
  <pageSetup fitToHeight="4" horizontalDpi="600" verticalDpi="600" orientation="landscape" paperSize="9" scale="73" r:id="rId1"/>
  <rowBreaks count="2" manualBreakCount="2">
    <brk id="28" max="11" man="1"/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2016-03-28T10:23:27Z</cp:lastPrinted>
  <dcterms:created xsi:type="dcterms:W3CDTF">2006-09-16T00:00:00Z</dcterms:created>
  <dcterms:modified xsi:type="dcterms:W3CDTF">2016-08-05T10:13:05Z</dcterms:modified>
  <cp:category/>
  <cp:version/>
  <cp:contentType/>
  <cp:contentStatus/>
</cp:coreProperties>
</file>